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6.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تحلیل\تحلیل شرکت ها\سیمان\ساروم\فایل تحلیلی\"/>
    </mc:Choice>
  </mc:AlternateContent>
  <bookViews>
    <workbookView xWindow="0" yWindow="0" windowWidth="23040" windowHeight="8904" tabRatio="864" firstSheet="3" activeTab="11"/>
  </bookViews>
  <sheets>
    <sheet name="اثر سیمان در بهای ساخت" sheetId="18" r:id="rId1"/>
    <sheet name="پوزولان" sheetId="19" r:id="rId2"/>
    <sheet name="ساختار تولید" sheetId="3" r:id="rId3"/>
    <sheet name="مفروضات" sheetId="5" r:id="rId4"/>
    <sheet name="بورس کالا" sheetId="7" r:id="rId5"/>
    <sheet name="نرخ ماهیانه" sheetId="8" r:id="rId6"/>
    <sheet name="تولید و فروش" sheetId="1" r:id="rId7"/>
    <sheet name="تولید و فروش (پیش بینی)" sheetId="4" r:id="rId8"/>
    <sheet name="ساختار بهای تمام شده" sheetId="9" r:id="rId9"/>
    <sheet name="سربار" sheetId="11" r:id="rId10"/>
    <sheet name="سود و زیان" sheetId="10" r:id="rId11"/>
    <sheet name="گزارش ساروم" sheetId="14" r:id="rId12"/>
    <sheet name="اطلاعات بازار مسکن" sheetId="16" r:id="rId13"/>
    <sheet name="گزارش صنعت" sheetId="15" r:id="rId14"/>
    <sheet name="آنالیز" sheetId="17" r:id="rId15"/>
  </sheets>
  <definedNames>
    <definedName name="_xlnm._FilterDatabase" localSheetId="4" hidden="1">'بورس کالا'!$B$1:$C$21</definedName>
  </definedNames>
  <calcPr calcId="162913"/>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4" i="14" l="1"/>
  <c r="E24" i="14"/>
  <c r="F24" i="14"/>
  <c r="G24" i="14"/>
  <c r="H24" i="14"/>
  <c r="I24" i="14"/>
  <c r="D25" i="14"/>
  <c r="E25" i="14"/>
  <c r="F25" i="14"/>
  <c r="G25" i="14"/>
  <c r="H25" i="14"/>
  <c r="I25" i="14"/>
  <c r="D26" i="14"/>
  <c r="E26" i="14"/>
  <c r="F26" i="14"/>
  <c r="G26" i="14"/>
  <c r="H26" i="14"/>
  <c r="I26" i="14"/>
  <c r="D27" i="14"/>
  <c r="E27" i="14"/>
  <c r="F27" i="14"/>
  <c r="G27" i="14"/>
  <c r="H27" i="14"/>
  <c r="I27" i="14"/>
  <c r="D28" i="14"/>
  <c r="E28" i="14"/>
  <c r="F28" i="14"/>
  <c r="G28" i="14"/>
  <c r="H28" i="14"/>
  <c r="I28" i="14"/>
  <c r="C25" i="14"/>
  <c r="C26" i="14"/>
  <c r="C27" i="14"/>
  <c r="C28" i="14"/>
  <c r="C24" i="14"/>
  <c r="B25" i="14"/>
  <c r="B26" i="14"/>
  <c r="B27" i="14"/>
  <c r="B28" i="14"/>
  <c r="B24" i="14"/>
  <c r="D26" i="7" l="1"/>
  <c r="G3" i="11" l="1"/>
  <c r="G2" i="11"/>
  <c r="G5" i="11"/>
  <c r="H2" i="9"/>
  <c r="J2" i="10"/>
  <c r="G6" i="11"/>
  <c r="I3" i="11"/>
  <c r="C10" i="5"/>
  <c r="N16" i="5"/>
  <c r="N15" i="5"/>
  <c r="N14" i="5"/>
  <c r="N13" i="5"/>
  <c r="N12" i="5"/>
  <c r="M16" i="5"/>
  <c r="M15" i="5"/>
  <c r="M14" i="5"/>
  <c r="M13" i="5"/>
  <c r="M12" i="5"/>
  <c r="L16" i="5"/>
  <c r="L15" i="5"/>
  <c r="L14" i="5"/>
  <c r="L13" i="5"/>
  <c r="L12" i="5"/>
  <c r="K16" i="5"/>
  <c r="K15" i="5"/>
  <c r="K14" i="5"/>
  <c r="K13" i="5"/>
  <c r="K12" i="5"/>
  <c r="J16" i="5"/>
  <c r="J15" i="5"/>
  <c r="J14" i="5"/>
  <c r="J13" i="5"/>
  <c r="J12" i="5"/>
  <c r="I16" i="5"/>
  <c r="I15" i="5"/>
  <c r="I14" i="5"/>
  <c r="I13" i="5"/>
  <c r="I12" i="5"/>
  <c r="H16" i="5"/>
  <c r="H15" i="5"/>
  <c r="H14" i="5"/>
  <c r="H13" i="5"/>
  <c r="H12" i="5"/>
  <c r="C15" i="15"/>
  <c r="C16" i="15"/>
  <c r="C17" i="15"/>
  <c r="C18" i="15"/>
  <c r="C19" i="15"/>
  <c r="C20" i="15"/>
  <c r="C14" i="15"/>
  <c r="B20" i="15"/>
  <c r="L5" i="15"/>
  <c r="K5" i="15"/>
  <c r="J5" i="15"/>
  <c r="I5" i="15"/>
  <c r="H5" i="15"/>
  <c r="G5" i="15"/>
  <c r="F5" i="15"/>
  <c r="E5" i="15"/>
  <c r="D5" i="15"/>
  <c r="B2" i="18" l="1"/>
  <c r="B6" i="18" s="1"/>
  <c r="B7" i="18" s="1"/>
  <c r="D3" i="7"/>
  <c r="D4" i="7"/>
  <c r="D5" i="7"/>
  <c r="D6" i="7"/>
  <c r="D7" i="7"/>
  <c r="D8" i="7"/>
  <c r="D9" i="7"/>
  <c r="D10" i="7"/>
  <c r="D11" i="7"/>
  <c r="D12" i="7"/>
  <c r="D13" i="7"/>
  <c r="D14" i="7"/>
  <c r="D15" i="7"/>
  <c r="D16" i="7"/>
  <c r="D17" i="7"/>
  <c r="D18" i="7"/>
  <c r="D19" i="7"/>
  <c r="D20" i="7"/>
  <c r="D21" i="7"/>
  <c r="D22" i="7"/>
  <c r="D23" i="7"/>
  <c r="D24" i="7"/>
  <c r="D25" i="7"/>
  <c r="D2" i="7"/>
  <c r="K4" i="16"/>
  <c r="K5" i="16"/>
  <c r="K6" i="16"/>
  <c r="K7" i="16"/>
  <c r="K8" i="16"/>
  <c r="K9" i="16"/>
  <c r="K10" i="16"/>
  <c r="K11" i="16"/>
  <c r="K12" i="16"/>
  <c r="K13" i="16"/>
  <c r="K14" i="16"/>
  <c r="K3" i="16"/>
  <c r="B9" i="18" l="1"/>
  <c r="B11" i="18" s="1"/>
  <c r="B8" i="18"/>
  <c r="B10" i="18" s="1"/>
  <c r="I5" i="16"/>
  <c r="I6" i="16"/>
  <c r="I7" i="16"/>
  <c r="I8" i="16"/>
  <c r="I9" i="16"/>
  <c r="I10" i="16"/>
  <c r="I11" i="16"/>
  <c r="I12" i="16"/>
  <c r="I13" i="16"/>
  <c r="I14" i="16"/>
  <c r="I4" i="16"/>
  <c r="H5" i="16"/>
  <c r="H6" i="16"/>
  <c r="H7" i="16"/>
  <c r="H8" i="16"/>
  <c r="H9" i="16"/>
  <c r="H10" i="16"/>
  <c r="H11" i="16"/>
  <c r="H12" i="16"/>
  <c r="H13" i="16"/>
  <c r="H14" i="16"/>
  <c r="H4" i="16"/>
  <c r="D3" i="16"/>
  <c r="D4" i="16"/>
  <c r="D5" i="16"/>
  <c r="D6" i="16"/>
  <c r="D7" i="16"/>
  <c r="D8" i="16"/>
  <c r="D9" i="16"/>
  <c r="D10" i="16"/>
  <c r="D11" i="16"/>
  <c r="D12" i="16"/>
  <c r="D13" i="16"/>
  <c r="D14" i="16"/>
  <c r="L7" i="15" l="1"/>
  <c r="C7" i="15"/>
  <c r="D7" i="15"/>
  <c r="E7" i="15"/>
  <c r="F7" i="15"/>
  <c r="G7" i="15"/>
  <c r="H7" i="15"/>
  <c r="I7" i="15"/>
  <c r="J7" i="15"/>
  <c r="K7" i="15"/>
  <c r="B7" i="15"/>
  <c r="N3" i="4" l="1"/>
  <c r="N2" i="4" s="1"/>
  <c r="N4" i="4" s="1"/>
  <c r="C5" i="5"/>
  <c r="N17" i="4"/>
  <c r="J9" i="10"/>
  <c r="J8" i="10"/>
  <c r="I5" i="10"/>
  <c r="J5" i="10" s="1"/>
  <c r="K5" i="10" s="1"/>
  <c r="G12" i="9"/>
  <c r="I5" i="11"/>
  <c r="C7" i="11"/>
  <c r="D7" i="11"/>
  <c r="E7" i="11"/>
  <c r="F7" i="11"/>
  <c r="G7" i="11"/>
  <c r="G4" i="9" s="1"/>
  <c r="H4" i="9" s="1"/>
  <c r="B7" i="11"/>
  <c r="H3" i="11"/>
  <c r="H4" i="11"/>
  <c r="I4" i="11" s="1"/>
  <c r="H5" i="11"/>
  <c r="H6" i="11"/>
  <c r="I6" i="11" s="1"/>
  <c r="H2" i="11"/>
  <c r="C11" i="5"/>
  <c r="G3" i="9"/>
  <c r="H3" i="9" s="1"/>
  <c r="I3" i="9" s="1"/>
  <c r="H16" i="10"/>
  <c r="H17" i="10"/>
  <c r="H18" i="10"/>
  <c r="H19" i="10"/>
  <c r="H13" i="10"/>
  <c r="H6" i="10"/>
  <c r="J6" i="10" s="1"/>
  <c r="D16" i="10"/>
  <c r="E16" i="10"/>
  <c r="F16" i="10"/>
  <c r="G16" i="10"/>
  <c r="D17" i="10"/>
  <c r="E17" i="10"/>
  <c r="F17" i="10"/>
  <c r="G17" i="10"/>
  <c r="D18" i="10"/>
  <c r="E18" i="10"/>
  <c r="F18" i="10"/>
  <c r="G18" i="10"/>
  <c r="D19" i="10"/>
  <c r="E19" i="10"/>
  <c r="F19" i="10"/>
  <c r="G19" i="10"/>
  <c r="C19" i="10"/>
  <c r="C18" i="10"/>
  <c r="C17" i="10"/>
  <c r="C16" i="10"/>
  <c r="C13" i="10"/>
  <c r="N23" i="4"/>
  <c r="N21" i="4"/>
  <c r="N11" i="4"/>
  <c r="N16" i="4" s="1"/>
  <c r="H7" i="11" l="1"/>
  <c r="I2" i="11"/>
  <c r="I7" i="11" s="1"/>
  <c r="I4" i="9" s="1"/>
  <c r="N22" i="4"/>
  <c r="N24" i="4" s="1"/>
  <c r="N7" i="4"/>
  <c r="K18" i="4"/>
  <c r="L18" i="4"/>
  <c r="D17" i="4"/>
  <c r="D22" i="4" s="1"/>
  <c r="D24" i="4" s="1"/>
  <c r="E17" i="4"/>
  <c r="E22" i="4" s="1"/>
  <c r="E24" i="4" s="1"/>
  <c r="F17" i="4"/>
  <c r="F22" i="4" s="1"/>
  <c r="F24" i="4" s="1"/>
  <c r="G17" i="4"/>
  <c r="G22" i="4" s="1"/>
  <c r="G24" i="4" s="1"/>
  <c r="H17" i="4"/>
  <c r="H22" i="4" s="1"/>
  <c r="H24" i="4" s="1"/>
  <c r="I17" i="4"/>
  <c r="I22" i="4" s="1"/>
  <c r="I24" i="4" s="1"/>
  <c r="J17" i="4"/>
  <c r="J22" i="4" s="1"/>
  <c r="J24" i="4" s="1"/>
  <c r="K17" i="4"/>
  <c r="K22" i="4" s="1"/>
  <c r="K24" i="4" s="1"/>
  <c r="L17" i="4"/>
  <c r="L22" i="4" s="1"/>
  <c r="L24" i="4" s="1"/>
  <c r="C17" i="4"/>
  <c r="C22" i="4" s="1"/>
  <c r="C24" i="4" s="1"/>
  <c r="M14" i="4"/>
  <c r="M8" i="4"/>
  <c r="M7" i="4"/>
  <c r="M4" i="4"/>
  <c r="M11" i="4"/>
  <c r="M16" i="4" s="1"/>
  <c r="D34" i="1"/>
  <c r="E34" i="1"/>
  <c r="F34" i="1"/>
  <c r="G34" i="1"/>
  <c r="H34" i="1"/>
  <c r="I34" i="1"/>
  <c r="K34" i="1"/>
  <c r="L34" i="1"/>
  <c r="D35" i="1"/>
  <c r="E35" i="1"/>
  <c r="F35" i="1"/>
  <c r="G35" i="1"/>
  <c r="H35" i="1"/>
  <c r="I35" i="1"/>
  <c r="K35" i="1"/>
  <c r="L35" i="1"/>
  <c r="I36" i="1"/>
  <c r="J36" i="1"/>
  <c r="K36" i="1"/>
  <c r="L36" i="1"/>
  <c r="I37" i="1"/>
  <c r="J37" i="1"/>
  <c r="K37" i="1"/>
  <c r="L37" i="1"/>
  <c r="D38" i="1"/>
  <c r="E38" i="1"/>
  <c r="F38" i="1"/>
  <c r="G38" i="1"/>
  <c r="H38" i="1"/>
  <c r="I38" i="1"/>
  <c r="J38" i="1"/>
  <c r="K38" i="1"/>
  <c r="D39" i="1"/>
  <c r="E39" i="1"/>
  <c r="F39" i="1"/>
  <c r="G39" i="1"/>
  <c r="H39" i="1"/>
  <c r="I39" i="1"/>
  <c r="K39" i="1"/>
  <c r="L39" i="1"/>
  <c r="H40" i="1"/>
  <c r="I40" i="1"/>
  <c r="J40" i="1"/>
  <c r="K40" i="1"/>
  <c r="L40" i="1"/>
  <c r="H41" i="1"/>
  <c r="I41" i="1"/>
  <c r="J41" i="1"/>
  <c r="K41" i="1"/>
  <c r="L41" i="1"/>
  <c r="K42" i="1"/>
  <c r="L42" i="1"/>
  <c r="K43" i="1"/>
  <c r="L43" i="1"/>
  <c r="C35" i="1"/>
  <c r="C38" i="1"/>
  <c r="C39" i="1"/>
  <c r="C34" i="1"/>
  <c r="J29" i="1"/>
  <c r="J30" i="1"/>
  <c r="J25" i="1"/>
  <c r="J21" i="1"/>
  <c r="J20" i="1"/>
  <c r="J16" i="1"/>
  <c r="J12" i="1"/>
  <c r="J8" i="1"/>
  <c r="J7" i="1"/>
  <c r="N12" i="4" l="1"/>
  <c r="N14" i="4" s="1"/>
  <c r="N9" i="4"/>
  <c r="M18" i="4"/>
  <c r="M9" i="4"/>
  <c r="M17" i="4"/>
  <c r="M22" i="4" s="1"/>
  <c r="M24" i="4" s="1"/>
  <c r="J34" i="1"/>
  <c r="J35" i="1"/>
  <c r="J39" i="1"/>
  <c r="J43" i="1"/>
  <c r="L29" i="17" l="1"/>
  <c r="L28" i="17"/>
  <c r="L30" i="17"/>
  <c r="K2" i="10"/>
  <c r="I2" i="9"/>
  <c r="M29" i="17"/>
  <c r="M30" i="17"/>
  <c r="G2" i="9"/>
  <c r="G5" i="9" s="1"/>
  <c r="G7" i="9" s="1"/>
  <c r="G11" i="9" s="1"/>
  <c r="G14" i="9" s="1"/>
  <c r="H5" i="9"/>
  <c r="H7" i="9" s="1"/>
  <c r="H11" i="9" s="1"/>
  <c r="I2" i="10"/>
  <c r="G16" i="9" l="1"/>
  <c r="I3" i="10" s="1"/>
  <c r="H14" i="9"/>
  <c r="H16" i="9" s="1"/>
  <c r="J3" i="10" s="1"/>
  <c r="J4" i="10" s="1"/>
  <c r="I5" i="9"/>
  <c r="I7" i="9" s="1"/>
  <c r="I11" i="9" s="1"/>
  <c r="I14" i="9" s="1"/>
  <c r="I16" i="9" s="1"/>
  <c r="K3" i="10" s="1"/>
  <c r="K4" i="10" s="1"/>
  <c r="K7" i="10" s="1"/>
  <c r="K10" i="10" s="1"/>
  <c r="M28" i="17"/>
  <c r="I4" i="10"/>
  <c r="I16" i="10" s="1"/>
  <c r="I7" i="10" l="1"/>
  <c r="J7" i="10"/>
  <c r="J16" i="10"/>
  <c r="L27" i="17" s="1"/>
  <c r="K17" i="10"/>
  <c r="K16" i="10"/>
  <c r="M27" i="17" s="1"/>
  <c r="I17" i="10"/>
  <c r="I10" i="10"/>
  <c r="J10" i="10"/>
  <c r="J17" i="10"/>
  <c r="K11" i="10"/>
  <c r="K19" i="10" s="1"/>
  <c r="I11" i="10" l="1"/>
  <c r="I19" i="10" s="1"/>
  <c r="J11" i="10"/>
  <c r="J19" i="10" s="1"/>
  <c r="K12" i="10"/>
  <c r="K18" i="10" s="1"/>
  <c r="J12" i="10" l="1"/>
  <c r="I12" i="10"/>
  <c r="I13" i="10" s="1"/>
  <c r="K13" i="10"/>
  <c r="B23" i="14" s="1"/>
  <c r="I18" i="10" l="1"/>
  <c r="J18" i="10"/>
  <c r="J13" i="10"/>
  <c r="G2" i="5"/>
  <c r="G11" i="5" s="1"/>
</calcChain>
</file>

<file path=xl/sharedStrings.xml><?xml version="1.0" encoding="utf-8"?>
<sst xmlns="http://schemas.openxmlformats.org/spreadsheetml/2006/main" count="291" uniqueCount="189">
  <si>
    <t>کلینکر</t>
  </si>
  <si>
    <t>سیمان</t>
  </si>
  <si>
    <t>سیمان تیپ یک پاکتی</t>
  </si>
  <si>
    <t>سیمان تیپ یک فله</t>
  </si>
  <si>
    <t>سیمان تیپ دو پاکتی</t>
  </si>
  <si>
    <t>سیمان تیپ دو فله</t>
  </si>
  <si>
    <t>سیمان پزولانی پاکتی</t>
  </si>
  <si>
    <t>سیمان پزولانی فله</t>
  </si>
  <si>
    <t>سیمان پاکتی plc</t>
  </si>
  <si>
    <t>سیمان فله plc</t>
  </si>
  <si>
    <t>سایر</t>
  </si>
  <si>
    <t>تخفیفات</t>
  </si>
  <si>
    <t>مقدار تولید (تن)</t>
  </si>
  <si>
    <t>مقدار فروش (تن)</t>
  </si>
  <si>
    <t>مبلغ فروش (میلیون ریال)</t>
  </si>
  <si>
    <t>نرخ فروش (تن / ریال)</t>
  </si>
  <si>
    <t>جمع کل</t>
  </si>
  <si>
    <t>داستان عملکرد:</t>
  </si>
  <si>
    <t>تا سال 1395 تولید کننده سیمان تیپ یک و سیمان پزولانی بوده است</t>
  </si>
  <si>
    <t>از سال 1396 تا آخرین صورت های مالی سیمان تیپ دو و سیمان plc به سبد محصولات شرکت اضافه گردیده است و سطح فروش سیمان پروزلانی کاسته و به کمتر از 30 هزار تن رسیده است</t>
  </si>
  <si>
    <t>سال 1400</t>
  </si>
  <si>
    <t>سوال اساسی:</t>
  </si>
  <si>
    <t>آیا پیش بینی جز به جز محصولات مزیتی در تحلیل دارد یا اینکه می توان طبقه بندی کلی تری را انجام داد؟</t>
  </si>
  <si>
    <t xml:space="preserve">سیمان </t>
  </si>
  <si>
    <t>نرخ دلار (ریال)</t>
  </si>
  <si>
    <t>نرخ دلاری هر تن سیمان</t>
  </si>
  <si>
    <t>شمش فخوز ( تن / دلار)</t>
  </si>
  <si>
    <t>سیمان به شمش فخوز</t>
  </si>
  <si>
    <t>میزان تولید سیمان (تن)</t>
  </si>
  <si>
    <t>شمش فولاد خوزستان ( تن / دلار )</t>
  </si>
  <si>
    <t>نسبت سیمان به شمش</t>
  </si>
  <si>
    <t>سال 1401</t>
  </si>
  <si>
    <t>نیاز هر تن سیمان به کلینکر</t>
  </si>
  <si>
    <t>نام کالا</t>
  </si>
  <si>
    <t>تاریخ معامله</t>
  </si>
  <si>
    <t>سیمان تیپ2</t>
  </si>
  <si>
    <t>1401/01/07</t>
  </si>
  <si>
    <t>سیمان تیپ 2/کیسه50</t>
  </si>
  <si>
    <t>سیمان تیپ 425-1</t>
  </si>
  <si>
    <t>سیمان تیپ 425-1/کیسه50</t>
  </si>
  <si>
    <t>1401/01/14</t>
  </si>
  <si>
    <t>1401/01/15</t>
  </si>
  <si>
    <t>1401/01/17</t>
  </si>
  <si>
    <t>1401/01/20</t>
  </si>
  <si>
    <t>1401/01/21</t>
  </si>
  <si>
    <t>1401/01/22</t>
  </si>
  <si>
    <t>1401/01/23</t>
  </si>
  <si>
    <t>1401/01/24</t>
  </si>
  <si>
    <t>سال</t>
  </si>
  <si>
    <t>فروردین</t>
  </si>
  <si>
    <t>اردیبهشت</t>
  </si>
  <si>
    <t>خرداد</t>
  </si>
  <si>
    <t>تیر</t>
  </si>
  <si>
    <t>مرداد</t>
  </si>
  <si>
    <t>شهریور</t>
  </si>
  <si>
    <t>مهر</t>
  </si>
  <si>
    <t>آبان</t>
  </si>
  <si>
    <t>آذر</t>
  </si>
  <si>
    <t>دی</t>
  </si>
  <si>
    <t>بهمن</t>
  </si>
  <si>
    <t>اسفند</t>
  </si>
  <si>
    <t>بهای تمام شده</t>
  </si>
  <si>
    <t>سال 1396</t>
  </si>
  <si>
    <t>سال 1397</t>
  </si>
  <si>
    <t>سال 1398</t>
  </si>
  <si>
    <t>سال 1399</t>
  </si>
  <si>
    <t>مواد مستقیم مصرفی</t>
  </si>
  <si>
    <t>دستمزد مستقیم تولید</t>
  </si>
  <si>
    <t>سربار تولید</t>
  </si>
  <si>
    <t>جمع</t>
  </si>
  <si>
    <t>هزینه جذب نشده در تولید</t>
  </si>
  <si>
    <t>جمع هزینه های تولید</t>
  </si>
  <si>
    <t>موجودی کالای در جریان ساخت اول دوره</t>
  </si>
  <si>
    <t>-</t>
  </si>
  <si>
    <t>موجودی کالای در جریان ساخت پایان دوره</t>
  </si>
  <si>
    <t>ضایعات غیرعادی</t>
  </si>
  <si>
    <t>بهای تمام شده کالای تولید شده</t>
  </si>
  <si>
    <t>موجودی کالای ساخته شده اول دوره</t>
  </si>
  <si>
    <t>موجودی کالای ساخته شده پایان دوره</t>
  </si>
  <si>
    <t>بهای تمام شده کالای فروش رفته</t>
  </si>
  <si>
    <t>بهای تمام شده خدمات ارایه شده</t>
  </si>
  <si>
    <t>جمع بهای تمام شده</t>
  </si>
  <si>
    <t>دوره مالی</t>
  </si>
  <si>
    <t>سال 1395</t>
  </si>
  <si>
    <t>فروش</t>
  </si>
  <si>
    <t>سود (زیان) ناخالص</t>
  </si>
  <si>
    <t>هزینه های عمومی, اداری و تشکیلاتی</t>
  </si>
  <si>
    <t>خالص سایر درامدها (هزینه ها) ی عملیاتی</t>
  </si>
  <si>
    <t>سود (زیان) عملیاتی</t>
  </si>
  <si>
    <t>هزینه های مالی</t>
  </si>
  <si>
    <t>خالص سایر درامدها و هزینه های غیرعملیاتی</t>
  </si>
  <si>
    <t>مالیات</t>
  </si>
  <si>
    <t>سود (زیان) خالص</t>
  </si>
  <si>
    <t>سود هر سهم پس از کسر مالیات</t>
  </si>
  <si>
    <t>سرمایه</t>
  </si>
  <si>
    <t>سود (زیان) خالص عملیات  قبل از مالیات</t>
  </si>
  <si>
    <t>حاشیه سود ناخالص</t>
  </si>
  <si>
    <t>حاشیه سود عملیاتی</t>
  </si>
  <si>
    <t>حاشیه سود خالص</t>
  </si>
  <si>
    <t>نرخ موثر مالیات</t>
  </si>
  <si>
    <t>مفروضات</t>
  </si>
  <si>
    <t>6 ماهه اول 400</t>
  </si>
  <si>
    <t>6 ماهه دوم 400</t>
  </si>
  <si>
    <t>نرخ تورم</t>
  </si>
  <si>
    <t>هزینه سربار</t>
  </si>
  <si>
    <t>هزینه مواد مصرفی</t>
  </si>
  <si>
    <t>هزینه انرژی (آب، برق، گاز و سوخت)</t>
  </si>
  <si>
    <t>هزینه استهلاک</t>
  </si>
  <si>
    <t>هزینه حقوق و دستمزد</t>
  </si>
  <si>
    <t>سایر هزینه ها</t>
  </si>
  <si>
    <t>نیمه اول 1400</t>
  </si>
  <si>
    <t>نیمه دوم 1400</t>
  </si>
  <si>
    <t>مصرف گاز به ازای هر تن سیمان (متر مکعب)</t>
  </si>
  <si>
    <t>نرخ گاز ( متر مکعب ریال)</t>
  </si>
  <si>
    <t>نرخ پاکت (ریال)</t>
  </si>
  <si>
    <t>متوسط نرخ سیمان (تن / هزار تومان)</t>
  </si>
  <si>
    <t>کشور</t>
  </si>
  <si>
    <t>تولید (میلیون تن)</t>
  </si>
  <si>
    <t>مصرف داخلی (میلیون تن)</t>
  </si>
  <si>
    <t>صادرات سیمان و کلینکر (میلیون تن)</t>
  </si>
  <si>
    <t>نسبت تولید به ظرفیت</t>
  </si>
  <si>
    <t>جهان</t>
  </si>
  <si>
    <t>تولید (میلیارد تن)</t>
  </si>
  <si>
    <t>ظرفیت تولید (میلیون تن)</t>
  </si>
  <si>
    <t>حاشیه سود ناخالص 10 ساله صنعت</t>
  </si>
  <si>
    <t>حاشیه سود ناخالص 10 ساله ساروم</t>
  </si>
  <si>
    <t>تحلیل حساسیت سال 1401 (افقی قیمت فروش سیمان به هزار تومان / عمودی مقدار فروش سیمان به تن)</t>
  </si>
  <si>
    <t>مسكوني</t>
  </si>
  <si>
    <t>تعداد پروانه‌هاي احداث (کل کشور)</t>
  </si>
  <si>
    <t>قیمت هر متر مربع - تهران (تومان)</t>
  </si>
  <si>
    <t>اجاره یک متر مربع - تهران (تومان)</t>
  </si>
  <si>
    <t>اطلاعات تهران</t>
  </si>
  <si>
    <t>نرخ رشد قیمت</t>
  </si>
  <si>
    <t>نرخ رشد اجاره</t>
  </si>
  <si>
    <t>پروانه های ساخت ساختمان - تهران</t>
  </si>
  <si>
    <t>قیمت هر متر مربع کلنگی در تهران (تومان)</t>
  </si>
  <si>
    <t>اطلاعات مقایسه ای</t>
  </si>
  <si>
    <t>پروانه های ساخت</t>
  </si>
  <si>
    <t>تولید سیمان در کشور (میلیون تن)</t>
  </si>
  <si>
    <t>1401/01/28</t>
  </si>
  <si>
    <t>1401/01/29</t>
  </si>
  <si>
    <t>مواد به فروش</t>
  </si>
  <si>
    <t>دستمزد به فروش</t>
  </si>
  <si>
    <t>سربار به فروش</t>
  </si>
  <si>
    <t>قیمت به اجاره</t>
  </si>
  <si>
    <t>قیمت (تن / ریال)</t>
  </si>
  <si>
    <t>قیمت (کیلو / ریال)</t>
  </si>
  <si>
    <t>طبق ابلاغیه شماره ۳۸۷۱۶/س ن مورخ ۲۷ اسفند ۱۳۹۹رئیس سازمان نظام مهندسی ساختمان، حداقل قیمت ساخت هر متر مربع ساختمان اعلام شده است. طبق مصاحبه ایشان میانگین ساخت هر متر مربع ساختمان در روستاها ۳.۵ میلیون تومان و در شهرها حدود ۶ میلیون تومان می‌باشد. در ساختمان‌های با اسکلت بتنی به طور متوسط چهار کیسه سیمان، معادل ۲۰۰ کیلوگرم و در ساختمان‌های با اسکلت فلزی به طور متوسط یک کیسه سیمان، معادل ۵۰ کیلوگرم مصرف می‌شود. طبق آخرین ابلاغیه انجمن صنفی، قیمت هر کیسه سیمان ۵۰ کیلوگرمی درب کارخانه برابر با ۲۱.۴۰۰ تومان می‌باشد. همچنین بر اساس آخرین ابلاغیه انجمن برای فروش مستقیم به مصرف کننده نهایی (بر اساس احراز شرایط) قیمت محصولات سیمانی بر اساس مصوبات انجمن به اضافه ۱۲ درصد هزینه‌های فروش مستقیم خواهد بود.</t>
  </si>
  <si>
    <t>قیمت هر کیسه سیمان تیپ 2 در بورس کالا (تومان)</t>
  </si>
  <si>
    <t xml:space="preserve">مالیات بر ارزش افزوده </t>
  </si>
  <si>
    <t>سود فروشنده و عامل</t>
  </si>
  <si>
    <t>قیمت منصفانه سیمان برای مصرف کننده</t>
  </si>
  <si>
    <t>مصرف سیمان در هر متر بربع (کیسه 50 کیلویی)</t>
  </si>
  <si>
    <t>افزایش قیمت مازاد</t>
  </si>
  <si>
    <t>بهای سیمان در هر متر مربع (تومان) براساس قیمت منصفانه</t>
  </si>
  <si>
    <t xml:space="preserve">بهای سیمان در هر متر مربع (تومان) براساس شرایط بازار </t>
  </si>
  <si>
    <t>سهم سیمان در بهای ساخت براساس قیمت منصفانه</t>
  </si>
  <si>
    <t>سهم سیمان در بهای ساخت براساس شرایط بازار</t>
  </si>
  <si>
    <t>بررسی‌ها نشان می‌دهد معمولا ۶۰ درصد قیمت واحدهای مسکونی مربوط به زمین و هزینه‌های مرتبط با آن مثل پروانه‌های ساختمانی است. از ۴۰ درصد باقیمانده این مخارج، حدود نیمی از آن مربوط به هزینه‌های نیروی انسانی است و حدود ۱۵ تا ۲۰ درصد هزینه‌ها نیز به مواد و مصالح ساختمانی تعلق می‌گیرد.</t>
  </si>
  <si>
    <t>متوسط هزینه حمل و تخلیه هر کیسه</t>
  </si>
  <si>
    <t>نسبت جهانی 15%</t>
  </si>
  <si>
    <t>هزینه زمین</t>
  </si>
  <si>
    <t>هزینه جواز</t>
  </si>
  <si>
    <t>هزینه مواد مصرفی در سف کاری، تأسیسات و نازک کاری</t>
  </si>
  <si>
    <t>یکی از پرهزینه ترین مراحل ساخت و ساز</t>
  </si>
  <si>
    <t>سود فروشنده</t>
  </si>
  <si>
    <t>ترکیب بهای هر متر مربع</t>
  </si>
  <si>
    <r>
      <rPr>
        <sz val="11"/>
        <color rgb="FFFF0000"/>
        <rFont val="IRANSansXFaNum DemiBold"/>
      </rPr>
      <t>سیمان تیپ یک</t>
    </r>
    <r>
      <rPr>
        <sz val="11"/>
        <color rgb="FF333333"/>
        <rFont val="IRANSansXFaNum DemiBold"/>
      </rPr>
      <t>: ساختن پیاده رو، رو سازی جاده، پل های بتنی، ملات برای بنایی</t>
    </r>
  </si>
  <si>
    <r>
      <rPr>
        <sz val="11"/>
        <color rgb="FFFF0000"/>
        <rFont val="IRANSansXFaNum DemiBold"/>
      </rPr>
      <t>سیمان تیپ دو</t>
    </r>
    <r>
      <rPr>
        <sz val="11"/>
        <color rgb="FF333333"/>
        <rFont val="IRANSansXFaNum DemiBold"/>
      </rPr>
      <t>: بتن ریزی ساختمان های حجیم</t>
    </r>
  </si>
  <si>
    <r>
      <rPr>
        <sz val="11"/>
        <color rgb="FFFF0000"/>
        <rFont val="IRANSansXFaNum DemiBold"/>
      </rPr>
      <t>سیما پزولانی</t>
    </r>
    <r>
      <rPr>
        <sz val="11"/>
        <color rgb="FF333333"/>
        <rFont val="IRANSansXFaNum DemiBold"/>
      </rPr>
      <t xml:space="preserve"> : بتن ریزی های حجیم با احتمال بالای حملات سولفات ها</t>
    </r>
  </si>
  <si>
    <r>
      <rPr>
        <sz val="11"/>
        <color rgb="FFFF0000"/>
        <rFont val="IRANSansXFaNum DemiBold"/>
      </rPr>
      <t>سیمان plc</t>
    </r>
    <r>
      <rPr>
        <sz val="11"/>
        <color rgb="FF333333"/>
        <rFont val="IRANSansXFaNum DemiBold"/>
      </rPr>
      <t xml:space="preserve">: مصارف عمومی  و مواردی که نیازمند سیمانی خاص نباشد (قطعات بتنی از پیش ساخته، ساختمان های بتنی، </t>
    </r>
  </si>
  <si>
    <r>
      <rPr>
        <sz val="11"/>
        <color rgb="FFFF0000"/>
        <rFont val="IRANSansXFaNum DemiBold"/>
      </rPr>
      <t xml:space="preserve">سیمان mc: </t>
    </r>
    <r>
      <rPr>
        <sz val="11"/>
        <color rgb="FF333333"/>
        <rFont val="IRANSansXFaNum DemiBold"/>
      </rPr>
      <t>در کارهای بنایی نظیر آجر کاری، کاشی کاری، نما و... استفاده می شود</t>
    </r>
  </si>
  <si>
    <t>سرانه مصرف جهانی سیمان (کیلو گرم)</t>
  </si>
  <si>
    <t>مصرف سرانه (کیلو گرم)</t>
  </si>
  <si>
    <t>بزرگترین تولید کنندگان سیمان جهان</t>
  </si>
  <si>
    <t>چین</t>
  </si>
  <si>
    <t>میلیون تن</t>
  </si>
  <si>
    <t>هند</t>
  </si>
  <si>
    <t>ویتنام</t>
  </si>
  <si>
    <t>آمریکا</t>
  </si>
  <si>
    <t>اندونزی</t>
  </si>
  <si>
    <t>ایران</t>
  </si>
  <si>
    <t>%</t>
  </si>
  <si>
    <t>قیمت فروش هر تن سیمان (هزار تومان) / تناژ فروش (تن)</t>
  </si>
  <si>
    <t>قیمت</t>
  </si>
  <si>
    <t>پی برای بر اساس سناریو تحلیلی سود</t>
  </si>
  <si>
    <t>1401/01/30</t>
  </si>
  <si>
    <t>مصرف برق به ازای هر تن سیمان (کیلو وات ساعت)</t>
  </si>
  <si>
    <t>نرخ برق ( کیلووات ساعت / ریال)</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</si>
</sst>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
    <numFmt numFmtId="165" formatCode="0.0%"/>
  </numFmts>
  <fonts count="20" x14ac:knownFonts="1">
    <font>
      <sz val="11"/>
      <color rgb="FF333333"/>
      <name val="Calibri"/>
    </font>
    <font>
      <sz val="11"/>
      <color rgb="FF333333"/>
      <name val="Calibri"/>
      <family val="2"/>
    </font>
    <font>
      <sz val="12"/>
      <color theme="1"/>
      <name val="IRANSansXFaNum Bold"/>
    </font>
    <font>
      <sz val="11"/>
      <color theme="1"/>
      <name val="IRANSansXFaNum Bold"/>
    </font>
    <font>
      <sz val="12"/>
      <color theme="0"/>
      <name val="IRANSansXFaNum Bold"/>
    </font>
    <font>
      <sz val="11"/>
      <color rgb="FF333333"/>
      <name val="IRANSansXFaNum DemiBold"/>
    </font>
    <font>
      <sz val="18"/>
      <color theme="1"/>
      <name val="IRANSansXFaNum Bold"/>
    </font>
    <font>
      <sz val="20"/>
      <color theme="1"/>
      <name val="IRANSansXFaNum Bold"/>
    </font>
    <font>
      <b/>
      <sz val="10"/>
      <color theme="1"/>
      <name val="IRANSansXFaNum DemiBold"/>
    </font>
    <font>
      <sz val="10"/>
      <color theme="1"/>
      <name val="IRANSansXFaNum DemiBold"/>
    </font>
    <font>
      <sz val="8"/>
      <name val="Calibri"/>
      <family val="2"/>
    </font>
    <font>
      <sz val="11"/>
      <color theme="0"/>
      <name val="IRANSansXFaNum DemiBold"/>
    </font>
    <font>
      <sz val="12"/>
      <color theme="0"/>
      <name val="IRANSansXFaNum DemiBold"/>
    </font>
    <font>
      <sz val="9"/>
      <color theme="0"/>
      <name val="IRANSansXFaNum DemiBold"/>
    </font>
    <font>
      <sz val="22"/>
      <color rgb="FF333333"/>
      <name val="IRANSansXFaNum Bold"/>
    </font>
    <font>
      <b/>
      <sz val="10"/>
      <name val="IRANSansXFaNum DemiBold"/>
    </font>
    <font>
      <sz val="10"/>
      <name val="IRANSansXFaNum DemiBold"/>
    </font>
    <font>
      <b/>
      <sz val="10"/>
      <color theme="0"/>
      <name val="IRANSansXFaNum DemiBold"/>
    </font>
    <font>
      <b/>
      <sz val="8"/>
      <color theme="0"/>
      <name val="IRANSansXFaNum DemiBold"/>
    </font>
    <font>
      <sz val="11"/>
      <color rgb="FFFF0000"/>
      <name val="IRANSansXFaNum DemiBold"/>
    </font>
  </fonts>
  <fills count="6">
    <fill>
      <patternFill patternType="none"/>
    </fill>
    <fill>
      <patternFill patternType="gray125"/>
    </fill>
    <fill>
      <patternFill patternType="solid">
        <fgColor theme="0"/>
        <bgColor indexed="64"/>
      </patternFill>
    </fill>
    <fill>
      <patternFill patternType="solid">
        <fgColor rgb="FF002060"/>
        <bgColor indexed="64"/>
      </patternFill>
    </fill>
    <fill>
      <patternFill patternType="solid">
        <fgColor theme="4" tint="0.79998168889431442"/>
        <bgColor indexed="64"/>
      </patternFill>
    </fill>
    <fill>
      <patternFill patternType="solid">
        <fgColor theme="3" tint="0.79998168889431442"/>
        <bgColor indexed="64"/>
      </patternFill>
    </fill>
  </fills>
  <borders count="10">
    <border>
      <left/>
      <right/>
      <top/>
      <bottom/>
      <diagonal/>
    </border>
    <border>
      <left/>
      <right/>
      <top/>
      <bottom/>
      <diagonal/>
    </border>
    <border>
      <left/>
      <right/>
      <top style="thin">
        <color indexed="64"/>
      </top>
      <bottom style="double">
        <color indexed="64"/>
      </bottom>
      <diagonal/>
    </border>
    <border>
      <left/>
      <right/>
      <top style="hair">
        <color auto="1"/>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2">
    <xf numFmtId="0" fontId="0" fillId="0" borderId="0"/>
    <xf numFmtId="9" fontId="1" fillId="0" borderId="0" applyFont="0" applyFill="0" applyBorder="0" applyAlignment="0" applyProtection="0"/>
  </cellStyleXfs>
  <cellXfs count="74">
    <xf numFmtId="0" fontId="0" fillId="0" borderId="0" xfId="0"/>
    <xf numFmtId="3" fontId="3" fillId="2" borderId="1" xfId="0" applyNumberFormat="1" applyFont="1" applyFill="1" applyBorder="1" applyAlignment="1">
      <alignment horizontal="center" vertical="center"/>
    </xf>
    <xf numFmtId="3" fontId="3" fillId="2" borderId="1" xfId="0" applyNumberFormat="1" applyFont="1" applyFill="1" applyBorder="1" applyAlignment="1">
      <alignment horizontal="right" vertical="center"/>
    </xf>
    <xf numFmtId="0" fontId="2" fillId="2" borderId="1" xfId="0" applyNumberFormat="1" applyFont="1" applyFill="1" applyBorder="1" applyAlignment="1">
      <alignment horizontal="center" vertical="center" wrapText="1"/>
    </xf>
    <xf numFmtId="3" fontId="2" fillId="2" borderId="1" xfId="0" applyNumberFormat="1" applyFont="1" applyFill="1" applyBorder="1" applyAlignment="1">
      <alignment horizontal="center" vertical="center" wrapText="1"/>
    </xf>
    <xf numFmtId="3" fontId="4" fillId="3" borderId="1" xfId="0" applyNumberFormat="1" applyFont="1" applyFill="1" applyBorder="1" applyAlignment="1">
      <alignment horizontal="right" vertical="center"/>
    </xf>
    <xf numFmtId="0" fontId="4" fillId="3" borderId="1" xfId="0" applyNumberFormat="1" applyFont="1" applyFill="1" applyBorder="1" applyAlignment="1">
      <alignment horizontal="center" vertical="center" wrapText="1"/>
    </xf>
    <xf numFmtId="3" fontId="2" fillId="4" borderId="1" xfId="0" applyNumberFormat="1" applyFont="1" applyFill="1" applyBorder="1" applyAlignment="1">
      <alignment horizontal="right" vertical="center"/>
    </xf>
    <xf numFmtId="3" fontId="3" fillId="4" borderId="2" xfId="0" applyNumberFormat="1" applyFont="1" applyFill="1" applyBorder="1" applyAlignment="1">
      <alignment horizontal="right" vertical="center"/>
    </xf>
    <xf numFmtId="3" fontId="3" fillId="4" borderId="2" xfId="0" applyNumberFormat="1" applyFont="1" applyFill="1" applyBorder="1" applyAlignment="1">
      <alignment horizontal="center" vertical="center"/>
    </xf>
    <xf numFmtId="0" fontId="5" fillId="0" borderId="0" xfId="0" applyFont="1"/>
    <xf numFmtId="3" fontId="6" fillId="2" borderId="1" xfId="0" applyNumberFormat="1" applyFont="1" applyFill="1" applyBorder="1" applyAlignment="1">
      <alignment horizontal="right" vertical="center"/>
    </xf>
    <xf numFmtId="3" fontId="7" fillId="2" borderId="1" xfId="0" applyNumberFormat="1" applyFont="1" applyFill="1" applyBorder="1" applyAlignment="1">
      <alignment horizontal="right" vertical="center"/>
    </xf>
    <xf numFmtId="9" fontId="3" fillId="2" borderId="1" xfId="1" applyFont="1" applyFill="1" applyBorder="1" applyAlignment="1">
      <alignment horizontal="center" vertical="center"/>
    </xf>
    <xf numFmtId="3" fontId="5" fillId="0" borderId="0" xfId="0" applyNumberFormat="1" applyFont="1"/>
    <xf numFmtId="3" fontId="5" fillId="0" borderId="0" xfId="0" applyNumberFormat="1" applyFont="1" applyAlignment="1">
      <alignment horizontal="center"/>
    </xf>
    <xf numFmtId="4" fontId="5" fillId="0" borderId="0" xfId="0" applyNumberFormat="1" applyFont="1" applyAlignment="1">
      <alignment horizontal="center"/>
    </xf>
    <xf numFmtId="0" fontId="8" fillId="0" borderId="0" xfId="0" applyFont="1" applyAlignment="1">
      <alignment horizontal="center" vertical="center"/>
    </xf>
    <xf numFmtId="0" fontId="9" fillId="0" borderId="0" xfId="0" applyFont="1" applyAlignment="1">
      <alignment horizontal="center"/>
    </xf>
    <xf numFmtId="3" fontId="9" fillId="0" borderId="0" xfId="0" applyNumberFormat="1" applyFont="1" applyAlignment="1">
      <alignment horizontal="center"/>
    </xf>
    <xf numFmtId="3" fontId="5" fillId="0" borderId="0" xfId="0" applyNumberFormat="1" applyFont="1" applyAlignment="1">
      <alignment horizontal="center" vertical="center"/>
    </xf>
    <xf numFmtId="0" fontId="5" fillId="0" borderId="0" xfId="0" applyNumberFormat="1" applyFont="1" applyAlignment="1">
      <alignment horizontal="center" vertical="center"/>
    </xf>
    <xf numFmtId="3" fontId="11" fillId="3" borderId="0" xfId="0" applyNumberFormat="1" applyFont="1" applyFill="1" applyAlignment="1">
      <alignment horizontal="center" vertical="center"/>
    </xf>
    <xf numFmtId="9" fontId="5" fillId="0" borderId="0" xfId="1" applyFont="1" applyAlignment="1">
      <alignment horizontal="center"/>
    </xf>
    <xf numFmtId="3" fontId="5" fillId="2" borderId="1" xfId="0" applyNumberFormat="1" applyFont="1" applyFill="1" applyBorder="1" applyAlignment="1">
      <alignment horizontal="right" vertical="center"/>
    </xf>
    <xf numFmtId="3" fontId="5" fillId="2" borderId="1" xfId="0" applyNumberFormat="1" applyFont="1" applyFill="1" applyBorder="1" applyAlignment="1">
      <alignment horizontal="center" vertical="center"/>
    </xf>
    <xf numFmtId="0" fontId="0" fillId="2" borderId="1" xfId="0" applyFill="1" applyBorder="1"/>
    <xf numFmtId="3" fontId="12" fillId="3" borderId="1" xfId="0" applyNumberFormat="1" applyFont="1" applyFill="1" applyBorder="1" applyAlignment="1">
      <alignment horizontal="center" vertical="center"/>
    </xf>
    <xf numFmtId="3" fontId="5" fillId="2" borderId="3" xfId="0" applyNumberFormat="1" applyFont="1" applyFill="1" applyBorder="1" applyAlignment="1">
      <alignment horizontal="right" vertical="center"/>
    </xf>
    <xf numFmtId="3" fontId="5" fillId="2" borderId="3" xfId="0" applyNumberFormat="1" applyFont="1" applyFill="1" applyBorder="1" applyAlignment="1">
      <alignment horizontal="center" vertical="center"/>
    </xf>
    <xf numFmtId="3" fontId="5" fillId="2" borderId="2" xfId="0" applyNumberFormat="1" applyFont="1" applyFill="1" applyBorder="1" applyAlignment="1">
      <alignment horizontal="center" vertical="center"/>
    </xf>
    <xf numFmtId="3" fontId="5" fillId="4" borderId="1" xfId="0" applyNumberFormat="1" applyFont="1" applyFill="1" applyBorder="1" applyAlignment="1">
      <alignment horizontal="right" vertical="center"/>
    </xf>
    <xf numFmtId="3" fontId="5" fillId="4" borderId="3" xfId="0" applyNumberFormat="1" applyFont="1" applyFill="1" applyBorder="1" applyAlignment="1">
      <alignment horizontal="right" vertical="center"/>
    </xf>
    <xf numFmtId="3" fontId="5" fillId="4" borderId="2" xfId="0" applyNumberFormat="1" applyFont="1" applyFill="1" applyBorder="1" applyAlignment="1">
      <alignment horizontal="right" vertical="center"/>
    </xf>
    <xf numFmtId="3" fontId="12" fillId="3" borderId="1" xfId="0" applyNumberFormat="1" applyFont="1" applyFill="1" applyBorder="1" applyAlignment="1">
      <alignment horizontal="right" vertical="center"/>
    </xf>
    <xf numFmtId="9" fontId="5" fillId="2" borderId="1" xfId="1" applyFont="1" applyFill="1" applyBorder="1" applyAlignment="1">
      <alignment horizontal="center" vertical="center"/>
    </xf>
    <xf numFmtId="3" fontId="12" fillId="3" borderId="1" xfId="0" applyNumberFormat="1" applyFont="1" applyFill="1" applyBorder="1" applyAlignment="1">
      <alignment horizontal="center" vertical="center" readingOrder="2"/>
    </xf>
    <xf numFmtId="165" fontId="5" fillId="0" borderId="0" xfId="1" applyNumberFormat="1" applyFont="1" applyAlignment="1">
      <alignment horizontal="center"/>
    </xf>
    <xf numFmtId="3" fontId="5" fillId="4" borderId="1" xfId="0" applyNumberFormat="1" applyFont="1" applyFill="1" applyBorder="1" applyAlignment="1">
      <alignment horizontal="center" vertical="center"/>
    </xf>
    <xf numFmtId="3" fontId="5" fillId="4" borderId="2" xfId="0" applyNumberFormat="1" applyFont="1" applyFill="1" applyBorder="1" applyAlignment="1">
      <alignment horizontal="center" vertical="center"/>
    </xf>
    <xf numFmtId="164" fontId="5" fillId="0" borderId="0" xfId="0" applyNumberFormat="1" applyFont="1" applyAlignment="1">
      <alignment horizontal="center" vertical="center"/>
    </xf>
    <xf numFmtId="3" fontId="11" fillId="3" borderId="0" xfId="0" applyNumberFormat="1" applyFont="1" applyFill="1"/>
    <xf numFmtId="3" fontId="11" fillId="3" borderId="0" xfId="0" applyNumberFormat="1" applyFont="1" applyFill="1" applyAlignment="1">
      <alignment horizontal="center"/>
    </xf>
    <xf numFmtId="164" fontId="3" fillId="2" borderId="1" xfId="0" applyNumberFormat="1" applyFont="1" applyFill="1" applyBorder="1" applyAlignment="1">
      <alignment horizontal="center" vertical="center"/>
    </xf>
    <xf numFmtId="0" fontId="4" fillId="3" borderId="1" xfId="0" applyNumberFormat="1" applyFont="1" applyFill="1" applyBorder="1" applyAlignment="1">
      <alignment horizontal="center" vertical="center"/>
    </xf>
    <xf numFmtId="3" fontId="5" fillId="5" borderId="0" xfId="0" applyNumberFormat="1" applyFont="1" applyFill="1" applyAlignment="1">
      <alignment horizontal="center" vertical="center"/>
    </xf>
    <xf numFmtId="1" fontId="15" fillId="0" borderId="4" xfId="0" applyNumberFormat="1" applyFont="1" applyFill="1" applyBorder="1" applyAlignment="1">
      <alignment horizontal="center" vertical="center" readingOrder="2"/>
    </xf>
    <xf numFmtId="1" fontId="5" fillId="0" borderId="0" xfId="0" applyNumberFormat="1" applyFont="1"/>
    <xf numFmtId="3" fontId="16" fillId="0" borderId="4" xfId="0" applyNumberFormat="1" applyFont="1" applyFill="1" applyBorder="1" applyAlignment="1">
      <alignment horizontal="center" vertical="center" readingOrder="2"/>
    </xf>
    <xf numFmtId="3" fontId="16" fillId="0" borderId="4" xfId="0" applyNumberFormat="1" applyFont="1" applyBorder="1" applyAlignment="1">
      <alignment horizontal="center" vertical="center" readingOrder="2"/>
    </xf>
    <xf numFmtId="3" fontId="16" fillId="0" borderId="4" xfId="0" quotePrefix="1" applyNumberFormat="1" applyFont="1" applyBorder="1" applyAlignment="1">
      <alignment horizontal="center" vertical="center" readingOrder="2"/>
    </xf>
    <xf numFmtId="1" fontId="17" fillId="3" borderId="4" xfId="0" applyNumberFormat="1" applyFont="1" applyFill="1" applyBorder="1" applyAlignment="1">
      <alignment horizontal="center" vertical="center" textRotation="90" readingOrder="2"/>
    </xf>
    <xf numFmtId="1" fontId="8" fillId="5" borderId="4" xfId="0" applyNumberFormat="1" applyFont="1" applyFill="1" applyBorder="1" applyAlignment="1">
      <alignment horizontal="center" vertical="center" textRotation="90" readingOrder="2"/>
    </xf>
    <xf numFmtId="3" fontId="16" fillId="0" borderId="1" xfId="0" applyNumberFormat="1" applyFont="1" applyFill="1" applyBorder="1" applyAlignment="1">
      <alignment horizontal="center" vertical="center" readingOrder="2"/>
    </xf>
    <xf numFmtId="9" fontId="16" fillId="0" borderId="4" xfId="1" applyFont="1" applyFill="1" applyBorder="1" applyAlignment="1">
      <alignment horizontal="center" vertical="center" readingOrder="2"/>
    </xf>
    <xf numFmtId="3" fontId="3" fillId="4" borderId="1" xfId="0" applyNumberFormat="1" applyFont="1" applyFill="1" applyBorder="1" applyAlignment="1">
      <alignment horizontal="center" vertical="center"/>
    </xf>
    <xf numFmtId="3" fontId="16" fillId="2" borderId="4" xfId="0" applyNumberFormat="1" applyFont="1" applyFill="1" applyBorder="1" applyAlignment="1">
      <alignment horizontal="center" vertical="center" readingOrder="2"/>
    </xf>
    <xf numFmtId="3" fontId="16" fillId="2" borderId="4" xfId="0" quotePrefix="1" applyNumberFormat="1" applyFont="1" applyFill="1" applyBorder="1" applyAlignment="1">
      <alignment horizontal="center" vertical="center" readingOrder="2"/>
    </xf>
    <xf numFmtId="3" fontId="0" fillId="0" borderId="0" xfId="0" applyNumberFormat="1"/>
    <xf numFmtId="3" fontId="5" fillId="0" borderId="0" xfId="0" applyNumberFormat="1" applyFont="1" applyAlignment="1">
      <alignment horizontal="center"/>
    </xf>
    <xf numFmtId="0" fontId="5" fillId="0" borderId="0" xfId="0" applyFont="1" applyAlignment="1">
      <alignment horizontal="right" wrapText="1"/>
    </xf>
    <xf numFmtId="3" fontId="5" fillId="0" borderId="0" xfId="0" applyNumberFormat="1" applyFont="1" applyAlignment="1">
      <alignment horizontal="center" vertical="center" wrapText="1"/>
    </xf>
    <xf numFmtId="3" fontId="5" fillId="0" borderId="0" xfId="0" applyNumberFormat="1" applyFont="1" applyAlignment="1">
      <alignment horizontal="center"/>
    </xf>
    <xf numFmtId="0" fontId="13" fillId="3" borderId="0" xfId="0" applyFont="1" applyFill="1" applyAlignment="1">
      <alignment horizontal="center" vertical="center"/>
    </xf>
    <xf numFmtId="0" fontId="5" fillId="0" borderId="0" xfId="0" applyFont="1" applyAlignment="1">
      <alignment horizontal="center"/>
    </xf>
    <xf numFmtId="9" fontId="14" fillId="0" borderId="0" xfId="1" applyFont="1" applyAlignment="1">
      <alignment horizontal="center" vertical="center"/>
    </xf>
    <xf numFmtId="0" fontId="5" fillId="5" borderId="5" xfId="0" applyFont="1" applyFill="1" applyBorder="1" applyAlignment="1">
      <alignment horizontal="center" vertical="center"/>
    </xf>
    <xf numFmtId="0" fontId="5" fillId="5" borderId="6" xfId="0" applyFont="1" applyFill="1" applyBorder="1" applyAlignment="1">
      <alignment horizontal="center" vertical="center"/>
    </xf>
    <xf numFmtId="0" fontId="5" fillId="5" borderId="7" xfId="0" applyFont="1" applyFill="1" applyBorder="1" applyAlignment="1">
      <alignment horizontal="center" vertical="center"/>
    </xf>
    <xf numFmtId="1" fontId="18" fillId="3" borderId="5" xfId="0" applyNumberFormat="1" applyFont="1" applyFill="1" applyBorder="1" applyAlignment="1">
      <alignment horizontal="center" vertical="center" readingOrder="2"/>
    </xf>
    <xf numFmtId="1" fontId="18" fillId="3" borderId="6" xfId="0" applyNumberFormat="1" applyFont="1" applyFill="1" applyBorder="1" applyAlignment="1">
      <alignment horizontal="center" vertical="center" readingOrder="2"/>
    </xf>
    <xf numFmtId="1" fontId="18" fillId="3" borderId="7" xfId="0" applyNumberFormat="1" applyFont="1" applyFill="1" applyBorder="1" applyAlignment="1">
      <alignment horizontal="center" vertical="center" readingOrder="2"/>
    </xf>
    <xf numFmtId="1" fontId="8" fillId="2" borderId="8" xfId="0" applyNumberFormat="1" applyFont="1" applyFill="1" applyBorder="1" applyAlignment="1">
      <alignment horizontal="center" vertical="center" textRotation="90" readingOrder="2"/>
    </xf>
    <xf numFmtId="1" fontId="8" fillId="2" borderId="9" xfId="0" applyNumberFormat="1" applyFont="1" applyFill="1" applyBorder="1" applyAlignment="1">
      <alignment horizontal="center" vertical="center" textRotation="90" readingOrder="2"/>
    </xf>
  </cellXfs>
  <cellStyles count="2">
    <cellStyle name="Normal" xfId="0" builtinId="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IRANSansXFaNum DemiBold" pitchFamily="2" charset="-78"/>
              <a:ea typeface="+mn-ea"/>
              <a:cs typeface="IRANSansXFaNum DemiBold" pitchFamily="2" charset="-78"/>
            </a:defRPr>
          </a:pPr>
          <a:endParaRPr lang="fa-IR"/>
        </a:p>
      </c:txPr>
    </c:title>
    <c:autoTitleDeleted val="0"/>
    <c:plotArea>
      <c:layout/>
      <c:lineChart>
        <c:grouping val="standard"/>
        <c:varyColors val="0"/>
        <c:ser>
          <c:idx val="0"/>
          <c:order val="0"/>
          <c:tx>
            <c:strRef>
              <c:f>'تولید و فروش (پیش بینی)'!$B$22</c:f>
              <c:strCache>
                <c:ptCount val="1"/>
                <c:pt idx="0">
                  <c:v>نرخ دلاری هر تن سیمان</c:v>
                </c:pt>
              </c:strCache>
            </c:strRef>
          </c:tx>
          <c:spPr>
            <a:ln w="28575" cap="rnd">
              <a:solidFill>
                <a:srgbClr val="002060"/>
              </a:solidFill>
              <a:round/>
            </a:ln>
            <a:effectLst/>
          </c:spPr>
          <c:marker>
            <c:symbol val="none"/>
          </c:marker>
          <c:dPt>
            <c:idx val="11"/>
            <c:marker>
              <c:symbol val="none"/>
            </c:marker>
            <c:bubble3D val="0"/>
            <c:spPr>
              <a:ln w="28575" cap="rnd">
                <a:solidFill>
                  <a:srgbClr val="002060"/>
                </a:solidFill>
                <a:prstDash val="sysDot"/>
                <a:round/>
              </a:ln>
              <a:effectLst/>
            </c:spPr>
            <c:extLst>
              <c:ext xmlns:c16="http://schemas.microsoft.com/office/drawing/2014/chart" uri="{C3380CC4-5D6E-409C-BE32-E72D297353CC}">
                <c16:uniqueId val="{00000001-F673-4921-8A3F-59550BCEA306}"/>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RANSansXFaNum DemiBold" pitchFamily="2" charset="-78"/>
                    <a:ea typeface="+mn-ea"/>
                    <a:cs typeface="IRANSansXFaNum DemiBold"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'تولید و فروش (پیش بینی)'!$C$20:$N$20</c:f>
              <c:numCache>
                <c:formatCode>General</c:formatCode>
                <c:ptCount val="12"/>
                <c:pt idx="0">
                  <c:v>1390</c:v>
                </c:pt>
                <c:pt idx="1">
                  <c:v>1391</c:v>
                </c:pt>
                <c:pt idx="2">
                  <c:v>1392</c:v>
                </c:pt>
                <c:pt idx="3">
                  <c:v>1393</c:v>
                </c:pt>
                <c:pt idx="4">
                  <c:v>1394</c:v>
                </c:pt>
                <c:pt idx="5">
                  <c:v>1395</c:v>
                </c:pt>
                <c:pt idx="6">
                  <c:v>1396</c:v>
                </c:pt>
                <c:pt idx="7">
                  <c:v>1397</c:v>
                </c:pt>
                <c:pt idx="8">
                  <c:v>1398</c:v>
                </c:pt>
                <c:pt idx="9">
                  <c:v>1399</c:v>
                </c:pt>
                <c:pt idx="10">
                  <c:v>1400</c:v>
                </c:pt>
                <c:pt idx="11">
                  <c:v>1401</c:v>
                </c:pt>
              </c:numCache>
            </c:numRef>
          </c:cat>
          <c:val>
            <c:numRef>
              <c:f>'تولید و فروش (پیش بینی)'!$C$22:$N$22</c:f>
              <c:numCache>
                <c:formatCode>#,##0</c:formatCode>
                <c:ptCount val="12"/>
                <c:pt idx="0">
                  <c:v>49.84098243457229</c:v>
                </c:pt>
                <c:pt idx="1">
                  <c:v>29.247787834197918</c:v>
                </c:pt>
                <c:pt idx="2">
                  <c:v>35.980750525635223</c:v>
                </c:pt>
                <c:pt idx="3">
                  <c:v>31.144585971921888</c:v>
                </c:pt>
                <c:pt idx="4">
                  <c:v>26.178313991799037</c:v>
                </c:pt>
                <c:pt idx="5">
                  <c:v>23.457987570499693</c:v>
                </c:pt>
                <c:pt idx="6">
                  <c:v>25.873374817813552</c:v>
                </c:pt>
                <c:pt idx="7">
                  <c:v>17.298298275123951</c:v>
                </c:pt>
                <c:pt idx="8">
                  <c:v>15.386667996319561</c:v>
                </c:pt>
                <c:pt idx="9">
                  <c:v>11.176489239960345</c:v>
                </c:pt>
                <c:pt idx="10">
                  <c:v>19.76394157977311</c:v>
                </c:pt>
                <c:pt idx="11">
                  <c:v>25</c:v>
                </c:pt>
              </c:numCache>
            </c:numRef>
          </c:val>
          <c:smooth val="1"/>
          <c:extLst>
            <c:ext xmlns:c16="http://schemas.microsoft.com/office/drawing/2014/chart" uri="{C3380CC4-5D6E-409C-BE32-E72D297353CC}">
              <c16:uniqueId val="{00000002-F673-4921-8A3F-59550BCEA306}"/>
            </c:ext>
          </c:extLst>
        </c:ser>
        <c:dLbls>
          <c:showLegendKey val="0"/>
          <c:showVal val="0"/>
          <c:showCatName val="0"/>
          <c:showSerName val="0"/>
          <c:showPercent val="0"/>
          <c:showBubbleSize val="0"/>
        </c:dLbls>
        <c:smooth val="0"/>
        <c:axId val="1539432864"/>
        <c:axId val="1544281136"/>
      </c:lineChart>
      <c:catAx>
        <c:axId val="153943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lumMod val="65000"/>
                    <a:lumOff val="35000"/>
                  </a:schemeClr>
                </a:solidFill>
                <a:latin typeface="IRANSansXFaNum DemiBold" pitchFamily="2" charset="-78"/>
                <a:ea typeface="+mn-ea"/>
                <a:cs typeface="IRANSansXFaNum DemiBold" pitchFamily="2" charset="-78"/>
              </a:defRPr>
            </a:pPr>
            <a:endParaRPr lang="fa-IR"/>
          </a:p>
        </c:txPr>
        <c:crossAx val="1544281136"/>
        <c:crosses val="autoZero"/>
        <c:auto val="1"/>
        <c:lblAlgn val="ctr"/>
        <c:lblOffset val="100"/>
        <c:noMultiLvlLbl val="0"/>
      </c:catAx>
      <c:valAx>
        <c:axId val="1544281136"/>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RANSansXFaNum DemiBold" pitchFamily="2" charset="-78"/>
                <a:ea typeface="+mn-ea"/>
                <a:cs typeface="IRANSansXFaNum DemiBold" pitchFamily="2" charset="-78"/>
              </a:defRPr>
            </a:pPr>
            <a:endParaRPr lang="fa-IR"/>
          </a:p>
        </c:txPr>
        <c:crossAx val="15394328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IRANSansXFaNum DemiBold" pitchFamily="2" charset="-78"/>
          <a:cs typeface="IRANSansXFaNum DemiBold" pitchFamily="2" charset="-78"/>
        </a:defRPr>
      </a:pPr>
      <a:endParaRPr lang="fa-I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r>
              <a:rPr lang="fa-IR"/>
              <a:t>تولید سیمان</a:t>
            </a:r>
            <a:r>
              <a:rPr lang="fa-IR" baseline="0"/>
              <a:t> در جهان </a:t>
            </a:r>
            <a:r>
              <a:rPr lang="fa-IR"/>
              <a:t>(میلیارد تن)</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endParaRPr lang="fa-IR"/>
        </a:p>
      </c:txPr>
    </c:title>
    <c:autoTitleDeleted val="0"/>
    <c:plotArea>
      <c:layout/>
      <c:barChart>
        <c:barDir val="col"/>
        <c:grouping val="clustered"/>
        <c:varyColors val="0"/>
        <c:ser>
          <c:idx val="1"/>
          <c:order val="0"/>
          <c:tx>
            <c:strRef>
              <c:f>'گزارش صنعت'!$A$10</c:f>
              <c:strCache>
                <c:ptCount val="1"/>
                <c:pt idx="0">
                  <c:v>تولید (میلیارد تن)</c:v>
                </c:pt>
              </c:strCache>
            </c:strRef>
          </c:tx>
          <c:spPr>
            <a:solidFill>
              <a:srgbClr val="002060"/>
            </a:solidFill>
            <a:ln>
              <a:solidFill>
                <a:srgbClr val="002060"/>
              </a:solidFill>
            </a:ln>
            <a:effectLst/>
          </c:spPr>
          <c:invertIfNegative val="0"/>
          <c:cat>
            <c:numRef>
              <c:f>'گزارش صنعت'!$B$9:$L$9</c:f>
              <c:numCache>
                <c:formatCode>General</c:formatCode>
                <c:ptCount val="11"/>
                <c:pt idx="0">
                  <c:v>1995</c:v>
                </c:pt>
                <c:pt idx="1">
                  <c:v>2000</c:v>
                </c:pt>
                <c:pt idx="2">
                  <c:v>2005</c:v>
                </c:pt>
                <c:pt idx="3">
                  <c:v>2010</c:v>
                </c:pt>
                <c:pt idx="4">
                  <c:v>2011</c:v>
                </c:pt>
                <c:pt idx="5">
                  <c:v>2012</c:v>
                </c:pt>
                <c:pt idx="6">
                  <c:v>2013</c:v>
                </c:pt>
                <c:pt idx="7">
                  <c:v>2016</c:v>
                </c:pt>
                <c:pt idx="8">
                  <c:v>2018</c:v>
                </c:pt>
                <c:pt idx="9">
                  <c:v>2019</c:v>
                </c:pt>
                <c:pt idx="10">
                  <c:v>2020</c:v>
                </c:pt>
              </c:numCache>
            </c:numRef>
          </c:cat>
          <c:val>
            <c:numRef>
              <c:f>'گزارش صنعت'!$B$10:$L$10</c:f>
              <c:numCache>
                <c:formatCode>#,##0.0</c:formatCode>
                <c:ptCount val="11"/>
                <c:pt idx="0">
                  <c:v>1.4</c:v>
                </c:pt>
                <c:pt idx="1">
                  <c:v>1.6</c:v>
                </c:pt>
                <c:pt idx="2">
                  <c:v>2.2999999999999998</c:v>
                </c:pt>
                <c:pt idx="3">
                  <c:v>3.31</c:v>
                </c:pt>
                <c:pt idx="4">
                  <c:v>3.6</c:v>
                </c:pt>
                <c:pt idx="5">
                  <c:v>3.7</c:v>
                </c:pt>
                <c:pt idx="6">
                  <c:v>4.08</c:v>
                </c:pt>
                <c:pt idx="7">
                  <c:v>4.2</c:v>
                </c:pt>
                <c:pt idx="8">
                  <c:v>4.0999999999999996</c:v>
                </c:pt>
                <c:pt idx="9">
                  <c:v>4.2</c:v>
                </c:pt>
                <c:pt idx="10">
                  <c:v>4.0999999999999996</c:v>
                </c:pt>
              </c:numCache>
            </c:numRef>
          </c:val>
          <c:extLst>
            <c:ext xmlns:c16="http://schemas.microsoft.com/office/drawing/2014/chart" uri="{C3380CC4-5D6E-409C-BE32-E72D297353CC}">
              <c16:uniqueId val="{00000000-0B32-4C44-9795-6FACAE8EC131}"/>
            </c:ext>
          </c:extLst>
        </c:ser>
        <c:dLbls>
          <c:showLegendKey val="0"/>
          <c:showVal val="0"/>
          <c:showCatName val="0"/>
          <c:showSerName val="0"/>
          <c:showPercent val="0"/>
          <c:showBubbleSize val="0"/>
        </c:dLbls>
        <c:gapWidth val="219"/>
        <c:axId val="1241480848"/>
        <c:axId val="1545659472"/>
      </c:barChart>
      <c:catAx>
        <c:axId val="124148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545659472"/>
        <c:crosses val="autoZero"/>
        <c:auto val="1"/>
        <c:lblAlgn val="ctr"/>
        <c:lblOffset val="100"/>
        <c:noMultiLvlLbl val="0"/>
      </c:catAx>
      <c:valAx>
        <c:axId val="1545659472"/>
        <c:scaling>
          <c:orientation val="minMax"/>
        </c:scaling>
        <c:delete val="0"/>
        <c:axPos val="l"/>
        <c:majorGridlines>
          <c:spPr>
            <a:ln w="9525" cap="flat" cmpd="sng" algn="ctr">
              <a:noFill/>
              <a:round/>
            </a:ln>
            <a:effectLst/>
          </c:spPr>
        </c:majorGridlines>
        <c:numFmt formatCode="#,##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2414808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IRANSansXFaNum DemiBold" pitchFamily="2" charset="-78"/>
          <a:cs typeface="IRANSansXFaNum DemiBold" pitchFamily="2" charset="-78"/>
        </a:defRPr>
      </a:pPr>
      <a:endParaRPr lang="fa-IR"/>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r>
              <a:rPr lang="fa-IR"/>
              <a:t>مصرف سرانه سیمان در ایران (کیلوگرم)</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endParaRPr lang="fa-IR"/>
        </a:p>
      </c:txPr>
    </c:title>
    <c:autoTitleDeleted val="0"/>
    <c:plotArea>
      <c:layout/>
      <c:barChart>
        <c:barDir val="col"/>
        <c:grouping val="clustered"/>
        <c:varyColors val="0"/>
        <c:ser>
          <c:idx val="1"/>
          <c:order val="0"/>
          <c:tx>
            <c:strRef>
              <c:f>'گزارش صنعت'!$A$10</c:f>
              <c:strCache>
                <c:ptCount val="1"/>
                <c:pt idx="0">
                  <c:v>تولید (میلیارد تن)</c:v>
                </c:pt>
              </c:strCache>
            </c:strRef>
          </c:tx>
          <c:spPr>
            <a:solidFill>
              <a:srgbClr val="002060"/>
            </a:solidFill>
            <a:ln>
              <a:solidFill>
                <a:srgbClr val="002060"/>
              </a:solidFill>
            </a:ln>
            <a:effectLst/>
          </c:spPr>
          <c:invertIfNegative val="0"/>
          <c:dLbls>
            <c:dLbl>
              <c:idx val="0"/>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D79-44DA-ACC2-6B34049D78E0}"/>
                </c:ext>
              </c:extLst>
            </c:dLbl>
            <c:dLbl>
              <c:idx val="5"/>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D79-44DA-ACC2-6B34049D78E0}"/>
                </c:ext>
              </c:extLst>
            </c:dLbl>
            <c:dLbl>
              <c:idx val="9"/>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D79-44DA-ACC2-6B34049D78E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solidFill>
                    <a:latin typeface="IRANSansXFaNum DemiBold" pitchFamily="2" charset="-78"/>
                    <a:ea typeface="+mn-ea"/>
                    <a:cs typeface="IRANSansXFaNum DemiBold" pitchFamily="2" charset="-78"/>
                  </a:defRPr>
                </a:pPr>
                <a:endParaRPr lang="fa-IR"/>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'گزارش صنعت'!$B$1:$K$1</c:f>
              <c:numCache>
                <c:formatCode>General</c:formatCode>
                <c:ptCount val="10"/>
                <c:pt idx="0">
                  <c:v>1390</c:v>
                </c:pt>
                <c:pt idx="1">
                  <c:v>1391</c:v>
                </c:pt>
                <c:pt idx="2">
                  <c:v>1392</c:v>
                </c:pt>
                <c:pt idx="3">
                  <c:v>1393</c:v>
                </c:pt>
                <c:pt idx="4">
                  <c:v>1394</c:v>
                </c:pt>
                <c:pt idx="5">
                  <c:v>1395</c:v>
                </c:pt>
                <c:pt idx="6">
                  <c:v>1396</c:v>
                </c:pt>
                <c:pt idx="7">
                  <c:v>1397</c:v>
                </c:pt>
                <c:pt idx="8">
                  <c:v>1398</c:v>
                </c:pt>
                <c:pt idx="9">
                  <c:v>1399</c:v>
                </c:pt>
              </c:numCache>
            </c:numRef>
          </c:cat>
          <c:val>
            <c:numRef>
              <c:f>'گزارش صنعت'!$B$5:$K$5</c:f>
              <c:numCache>
                <c:formatCode>#,##0</c:formatCode>
                <c:ptCount val="10"/>
                <c:pt idx="0">
                  <c:v>765</c:v>
                </c:pt>
                <c:pt idx="1">
                  <c:v>762</c:v>
                </c:pt>
                <c:pt idx="2">
                  <c:v>717.41935483870964</c:v>
                </c:pt>
                <c:pt idx="3">
                  <c:v>694.26751592356686</c:v>
                </c:pt>
                <c:pt idx="4">
                  <c:v>611.32075471698113</c:v>
                </c:pt>
                <c:pt idx="5">
                  <c:v>592.54658385093171</c:v>
                </c:pt>
                <c:pt idx="6">
                  <c:v>597.799511002445</c:v>
                </c:pt>
                <c:pt idx="7">
                  <c:v>592.27985524728581</c:v>
                </c:pt>
                <c:pt idx="8">
                  <c:v>632.89630512514896</c:v>
                </c:pt>
                <c:pt idx="9">
                  <c:v>750.29446407538273</c:v>
                </c:pt>
              </c:numCache>
            </c:numRef>
          </c:val>
          <c:extLst>
            <c:ext xmlns:c16="http://schemas.microsoft.com/office/drawing/2014/chart" uri="{C3380CC4-5D6E-409C-BE32-E72D297353CC}">
              <c16:uniqueId val="{00000000-1D79-44DA-ACC2-6B34049D78E0}"/>
            </c:ext>
          </c:extLst>
        </c:ser>
        <c:dLbls>
          <c:showLegendKey val="0"/>
          <c:showVal val="0"/>
          <c:showCatName val="0"/>
          <c:showSerName val="0"/>
          <c:showPercent val="0"/>
          <c:showBubbleSize val="0"/>
        </c:dLbls>
        <c:gapWidth val="219"/>
        <c:axId val="1241480848"/>
        <c:axId val="1545659472"/>
      </c:barChart>
      <c:catAx>
        <c:axId val="124148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545659472"/>
        <c:crosses val="autoZero"/>
        <c:auto val="1"/>
        <c:lblAlgn val="ctr"/>
        <c:lblOffset val="100"/>
        <c:noMultiLvlLbl val="0"/>
      </c:catAx>
      <c:valAx>
        <c:axId val="1545659472"/>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241480848"/>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IRANSansXFaNum DemiBold" pitchFamily="2" charset="-78"/>
          <a:cs typeface="IRANSansXFaNum DemiBold" pitchFamily="2" charset="-78"/>
        </a:defRPr>
      </a:pPr>
      <a:endParaRPr lang="fa-IR"/>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baseline="0">
                <a:solidFill>
                  <a:schemeClr val="dk1">
                    <a:lumMod val="75000"/>
                    <a:lumOff val="25000"/>
                  </a:schemeClr>
                </a:solidFill>
                <a:latin typeface="IRANSansXFaNum DemiBold" pitchFamily="2" charset="-78"/>
                <a:ea typeface="+mn-ea"/>
                <a:cs typeface="IRANSansXFaNum DemiBold" pitchFamily="2" charset="-78"/>
              </a:defRPr>
            </a:pPr>
            <a:r>
              <a:rPr lang="fa-IR" sz="1400"/>
              <a:t>تولیدکنندگان برتر سیمان در جهان (میلیون تن)</a:t>
            </a:r>
            <a:endParaRPr lang="en-US" sz="1400"/>
          </a:p>
        </c:rich>
      </c:tx>
      <c:layout>
        <c:manualLayout>
          <c:xMode val="edge"/>
          <c:yMode val="edge"/>
          <c:x val="0.24816413135273979"/>
          <c:y val="2.5500910746812388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dk1">
                  <a:lumMod val="75000"/>
                  <a:lumOff val="25000"/>
                </a:schemeClr>
              </a:solidFill>
              <a:latin typeface="IRANSansXFaNum DemiBold" pitchFamily="2" charset="-78"/>
              <a:ea typeface="+mn-ea"/>
              <a:cs typeface="IRANSansXFaNum DemiBold" pitchFamily="2" charset="-78"/>
            </a:defRPr>
          </a:pPr>
          <a:endParaRPr lang="fa-IR"/>
        </a:p>
      </c:txPr>
    </c:title>
    <c:autoTitleDeleted val="0"/>
    <c:plotArea>
      <c:layout/>
      <c:pieChart>
        <c:varyColors val="1"/>
        <c:ser>
          <c:idx val="0"/>
          <c:order val="0"/>
          <c:tx>
            <c:strRef>
              <c:f>'گزارش صنعت'!$C$13</c:f>
              <c:strCache>
                <c:ptCount val="1"/>
                <c:pt idx="0">
                  <c:v>%</c:v>
                </c:pt>
              </c:strCache>
            </c:strRef>
          </c:tx>
          <c:dPt>
            <c:idx val="0"/>
            <c:bubble3D val="0"/>
            <c:spPr>
              <a:solidFill>
                <a:srgbClr val="002060"/>
              </a:solidFill>
              <a:ln>
                <a:solidFill>
                  <a:srgbClr val="002060"/>
                </a:solid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1-EBEE-4333-9AA9-CB1F56E0D987}"/>
              </c:ext>
            </c:extLst>
          </c:dPt>
          <c:dPt>
            <c:idx val="1"/>
            <c:bubble3D val="0"/>
            <c:spPr>
              <a:solidFill>
                <a:schemeClr val="accent5">
                  <a:lumMod val="75000"/>
                </a:schemeClr>
              </a:solidFill>
              <a:ln>
                <a:solidFill>
                  <a:schemeClr val="accent5">
                    <a:lumMod val="75000"/>
                  </a:schemeClr>
                </a:solid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EBEE-4333-9AA9-CB1F56E0D987}"/>
              </c:ext>
            </c:extLst>
          </c:dPt>
          <c:dPt>
            <c:idx val="2"/>
            <c:bubble3D val="0"/>
            <c:spPr>
              <a:solidFill>
                <a:schemeClr val="accent5">
                  <a:lumMod val="60000"/>
                  <a:lumOff val="40000"/>
                </a:schemeClr>
              </a:solidFill>
              <a:ln>
                <a:solidFill>
                  <a:schemeClr val="accent5">
                    <a:lumMod val="60000"/>
                    <a:lumOff val="40000"/>
                  </a:schemeClr>
                </a:solid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6-EBEE-4333-9AA9-CB1F56E0D987}"/>
              </c:ext>
            </c:extLst>
          </c:dPt>
          <c:dPt>
            <c:idx val="3"/>
            <c:bubble3D val="0"/>
            <c:spPr>
              <a:solidFill>
                <a:schemeClr val="accent4">
                  <a:lumMod val="50000"/>
                </a:schemeClr>
              </a:solidFill>
              <a:ln>
                <a:solidFill>
                  <a:schemeClr val="accent4">
                    <a:lumMod val="50000"/>
                  </a:schemeClr>
                </a:solid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EBEE-4333-9AA9-CB1F56E0D987}"/>
              </c:ext>
            </c:extLst>
          </c:dPt>
          <c:dPt>
            <c:idx val="4"/>
            <c:bubble3D val="0"/>
            <c:spPr>
              <a:solidFill>
                <a:schemeClr val="accent4">
                  <a:lumMod val="75000"/>
                </a:schemeClr>
              </a:solidFill>
              <a:ln>
                <a:solidFill>
                  <a:schemeClr val="accent4">
                    <a:lumMod val="75000"/>
                  </a:schemeClr>
                </a:solid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4-EBEE-4333-9AA9-CB1F56E0D987}"/>
              </c:ext>
            </c:extLst>
          </c:dPt>
          <c:dPt>
            <c:idx val="5"/>
            <c:bubble3D val="0"/>
            <c:spPr>
              <a:solidFill>
                <a:schemeClr val="accent4">
                  <a:lumMod val="60000"/>
                  <a:lumOff val="40000"/>
                </a:schemeClr>
              </a:solidFill>
              <a:ln>
                <a:solidFill>
                  <a:schemeClr val="accent4">
                    <a:lumMod val="60000"/>
                    <a:lumOff val="40000"/>
                  </a:schemeClr>
                </a:solid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EBEE-4333-9AA9-CB1F56E0D987}"/>
              </c:ext>
            </c:extLst>
          </c:dPt>
          <c:dPt>
            <c:idx val="6"/>
            <c:bubble3D val="0"/>
            <c:spPr>
              <a:solidFill>
                <a:schemeClr val="accent6">
                  <a:lumMod val="75000"/>
                </a:schemeClr>
              </a:solidFill>
              <a:ln>
                <a:solidFill>
                  <a:schemeClr val="accent6">
                    <a:lumMod val="75000"/>
                  </a:schemeClr>
                </a:solid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EBEE-4333-9AA9-CB1F56E0D987}"/>
              </c:ext>
            </c:extLst>
          </c:dPt>
          <c:dLbls>
            <c:dLbl>
              <c:idx val="0"/>
              <c:layout>
                <c:manualLayout>
                  <c:x val="-9.7264068626935651E-2"/>
                  <c:y val="-0.11199604147842175"/>
                </c:manualLayout>
              </c:layout>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000" b="1" i="0" u="none" strike="noStrike" kern="1200" baseline="0">
                      <a:solidFill>
                        <a:schemeClr val="bg1"/>
                      </a:solidFill>
                      <a:latin typeface="IRANSansXFaNum DemiBold" pitchFamily="2" charset="-78"/>
                      <a:ea typeface="+mn-ea"/>
                      <a:cs typeface="IRANSansXFaNum DemiBold" pitchFamily="2" charset="-78"/>
                    </a:defRPr>
                  </a:pPr>
                  <a:endParaRPr lang="fa-IR"/>
                </a:p>
              </c:txPr>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1-EBEE-4333-9AA9-CB1F56E0D987}"/>
                </c:ext>
              </c:extLst>
            </c:dLbl>
            <c:dLbl>
              <c:idx val="2"/>
              <c:layout>
                <c:manualLayout>
                  <c:x val="-1.416937368810248E-3"/>
                  <c:y val="1.8177645827058504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6-EBEE-4333-9AA9-CB1F56E0D987}"/>
                </c:ext>
              </c:extLst>
            </c:dLbl>
            <c:dLbl>
              <c:idx val="3"/>
              <c:layout>
                <c:manualLayout>
                  <c:x val="-5.8590806990247754E-2"/>
                  <c:y val="3.862771251954161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5-EBEE-4333-9AA9-CB1F56E0D987}"/>
                </c:ext>
              </c:extLst>
            </c:dLbl>
            <c:dLbl>
              <c:idx val="4"/>
              <c:layout>
                <c:manualLayout>
                  <c:x val="-5.553686630292709E-3"/>
                  <c:y val="-2.2196405777148045E-3"/>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4-EBEE-4333-9AA9-CB1F56E0D987}"/>
                </c:ext>
              </c:extLst>
            </c:dLbl>
            <c:dLbl>
              <c:idx val="5"/>
              <c:layout>
                <c:manualLayout>
                  <c:x val="-5.3089333459485827E-2"/>
                  <c:y val="-2.0890380505715473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3-EBEE-4333-9AA9-CB1F56E0D987}"/>
                </c:ext>
              </c:extLst>
            </c:dLbl>
            <c:dLbl>
              <c:idx val="6"/>
              <c:layout>
                <c:manualLayout>
                  <c:x val="2.6956326720842139E-2"/>
                  <c:y val="-3.0197495804827675E-2"/>
                </c:manualLayout>
              </c:layout>
              <c:dLblPos val="bestFit"/>
              <c:showLegendKey val="0"/>
              <c:showVal val="0"/>
              <c:showCatName val="0"/>
              <c:showSerName val="0"/>
              <c:showPercent val="1"/>
              <c:showBubbleSize val="0"/>
              <c:extLst>
                <c:ext xmlns:c15="http://schemas.microsoft.com/office/drawing/2012/chart" uri="{CE6537A1-D6FC-4f65-9D91-7224C49458BB}">
                  <c15:layout/>
                </c:ext>
                <c:ext xmlns:c16="http://schemas.microsoft.com/office/drawing/2014/chart" uri="{C3380CC4-5D6E-409C-BE32-E72D297353CC}">
                  <c16:uniqueId val="{00000002-EBEE-4333-9AA9-CB1F56E0D987}"/>
                </c:ext>
              </c:extLst>
            </c:dLbl>
            <c:spPr>
              <a:noFill/>
              <a:ln>
                <a:noFill/>
              </a:ln>
              <a:effectLst>
                <a:outerShdw blurRad="50800" dist="38100" dir="2700000" algn="tl" rotWithShape="0">
                  <a:prstClr val="black">
                    <a:alpha val="40000"/>
                  </a:prstClr>
                </a:outerShdw>
              </a:effectLst>
            </c:spPr>
            <c:txPr>
              <a:bodyPr rot="0" spcFirstLastPara="1" vertOverflow="ellipsis" vert="horz" wrap="square" anchor="ctr" anchorCtr="1"/>
              <a:lstStyle/>
              <a:p>
                <a:pPr>
                  <a:defRPr sz="1000" b="1" i="0" u="none" strike="noStrike" kern="1200" baseline="0">
                    <a:solidFill>
                      <a:schemeClr val="tx1"/>
                    </a:solidFill>
                    <a:latin typeface="IRANSansXFaNum DemiBold" pitchFamily="2" charset="-78"/>
                    <a:ea typeface="+mn-ea"/>
                    <a:cs typeface="IRANSansXFaNum DemiBold" pitchFamily="2" charset="-78"/>
                  </a:defRPr>
                </a:pPr>
                <a:endParaRPr lang="fa-IR"/>
              </a:p>
            </c:txPr>
            <c:dLblPos val="ctr"/>
            <c:showLegendKey val="0"/>
            <c:showVal val="0"/>
            <c:showCatName val="0"/>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15:layout/>
              </c:ext>
            </c:extLst>
          </c:dLbls>
          <c:cat>
            <c:strRef>
              <c:f>'گزارش صنعت'!$A$14:$A$20</c:f>
              <c:strCache>
                <c:ptCount val="7"/>
                <c:pt idx="0">
                  <c:v>چین</c:v>
                </c:pt>
                <c:pt idx="1">
                  <c:v>هند</c:v>
                </c:pt>
                <c:pt idx="2">
                  <c:v>ویتنام</c:v>
                </c:pt>
                <c:pt idx="3">
                  <c:v>آمریکا</c:v>
                </c:pt>
                <c:pt idx="4">
                  <c:v>اندونزی</c:v>
                </c:pt>
                <c:pt idx="5">
                  <c:v>ایران</c:v>
                </c:pt>
                <c:pt idx="6">
                  <c:v>سایر</c:v>
                </c:pt>
              </c:strCache>
            </c:strRef>
          </c:cat>
          <c:val>
            <c:numRef>
              <c:f>'گزارش صنعت'!$C$14:$C$20</c:f>
              <c:numCache>
                <c:formatCode>0%</c:formatCode>
                <c:ptCount val="7"/>
                <c:pt idx="0">
                  <c:v>0.53658536585365857</c:v>
                </c:pt>
                <c:pt idx="1">
                  <c:v>8.2926829268292687E-2</c:v>
                </c:pt>
                <c:pt idx="2">
                  <c:v>2.3414634146341463E-2</c:v>
                </c:pt>
                <c:pt idx="3">
                  <c:v>2.1951219512195121E-2</c:v>
                </c:pt>
                <c:pt idx="4">
                  <c:v>1.7804878048780486E-2</c:v>
                </c:pt>
                <c:pt idx="5">
                  <c:v>1.6341463414634147E-2</c:v>
                </c:pt>
                <c:pt idx="6">
                  <c:v>0.30097560975609755</c:v>
                </c:pt>
              </c:numCache>
            </c:numRef>
          </c:val>
          <c:extLst>
            <c:ext xmlns:c16="http://schemas.microsoft.com/office/drawing/2014/chart" uri="{C3380CC4-5D6E-409C-BE32-E72D297353CC}">
              <c16:uniqueId val="{00000000-EBEE-4333-9AA9-CB1F56E0D987}"/>
            </c:ext>
          </c:extLst>
        </c:ser>
        <c:dLbls>
          <c:dLblPos val="ctr"/>
          <c:showLegendKey val="0"/>
          <c:showVal val="0"/>
          <c:showCatName val="0"/>
          <c:showSerName val="0"/>
          <c:showPercent val="1"/>
          <c:showBubbleSize val="0"/>
          <c:showLeaderLines val="1"/>
        </c:dLbls>
        <c:firstSliceAng val="360"/>
      </c:pieChart>
      <c:spPr>
        <a:noFill/>
        <a:ln>
          <a:noFill/>
        </a:ln>
        <a:effectLst/>
      </c:spPr>
    </c:plotArea>
    <c:legend>
      <c:legendPos val="l"/>
      <c:layout/>
      <c:overlay val="0"/>
      <c:spPr>
        <a:noFill/>
        <a:ln>
          <a:noFill/>
        </a:ln>
        <a:effectLst/>
      </c:spPr>
      <c:txPr>
        <a:bodyPr rot="0" spcFirstLastPara="1" vertOverflow="ellipsis" vert="horz" wrap="square" anchor="ctr" anchorCtr="1"/>
        <a:lstStyle/>
        <a:p>
          <a:pPr>
            <a:defRPr sz="900" b="0" i="0" u="none" strike="noStrike" kern="1200" baseline="0">
              <a:solidFill>
                <a:schemeClr val="dk1">
                  <a:lumMod val="75000"/>
                  <a:lumOff val="25000"/>
                </a:schemeClr>
              </a:solidFill>
              <a:latin typeface="IRANSansXFaNum DemiBold" pitchFamily="2" charset="-78"/>
              <a:ea typeface="+mn-ea"/>
              <a:cs typeface="IRANSansXFaNum DemiBold"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latin typeface="IRANSansXFaNum DemiBold" pitchFamily="2" charset="-78"/>
          <a:cs typeface="IRANSansXFaNum DemiBold" pitchFamily="2" charset="-78"/>
        </a:defRPr>
      </a:pPr>
      <a:endParaRPr lang="fa-IR"/>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r>
              <a:rPr lang="fa-IR"/>
              <a:t>تولید سیمان در مقابل پروانه های ساخت</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endParaRPr lang="fa-IR"/>
        </a:p>
      </c:txPr>
    </c:title>
    <c:autoTitleDeleted val="0"/>
    <c:plotArea>
      <c:layout/>
      <c:barChart>
        <c:barDir val="col"/>
        <c:grouping val="clustered"/>
        <c:varyColors val="0"/>
        <c:ser>
          <c:idx val="1"/>
          <c:order val="0"/>
          <c:tx>
            <c:strRef>
              <c:f>آنالیز!$A$2</c:f>
              <c:strCache>
                <c:ptCount val="1"/>
                <c:pt idx="0">
                  <c:v>تولید سیمان در کشور (میلیون تن)</c:v>
                </c:pt>
              </c:strCache>
            </c:strRef>
          </c:tx>
          <c:spPr>
            <a:solidFill>
              <a:srgbClr val="002060"/>
            </a:solidFill>
            <a:ln>
              <a:solidFill>
                <a:srgbClr val="002060"/>
              </a:solidFill>
            </a:ln>
            <a:effectLst/>
          </c:spPr>
          <c:invertIfNegative val="0"/>
          <c:cat>
            <c:numRef>
              <c:f>آنالیز!$B$1:$K$1</c:f>
              <c:numCache>
                <c:formatCode>General</c:formatCode>
                <c:ptCount val="10"/>
                <c:pt idx="0">
                  <c:v>1390</c:v>
                </c:pt>
                <c:pt idx="1">
                  <c:v>1391</c:v>
                </c:pt>
                <c:pt idx="2">
                  <c:v>1392</c:v>
                </c:pt>
                <c:pt idx="3">
                  <c:v>1393</c:v>
                </c:pt>
                <c:pt idx="4">
                  <c:v>1394</c:v>
                </c:pt>
                <c:pt idx="5">
                  <c:v>1395</c:v>
                </c:pt>
                <c:pt idx="6">
                  <c:v>1396</c:v>
                </c:pt>
                <c:pt idx="7">
                  <c:v>1397</c:v>
                </c:pt>
                <c:pt idx="8">
                  <c:v>1398</c:v>
                </c:pt>
                <c:pt idx="9">
                  <c:v>1399</c:v>
                </c:pt>
              </c:numCache>
            </c:numRef>
          </c:cat>
          <c:val>
            <c:numRef>
              <c:f>آنالیز!$B$2:$K$2</c:f>
              <c:numCache>
                <c:formatCode>#,##0</c:formatCode>
                <c:ptCount val="10"/>
                <c:pt idx="0">
                  <c:v>66.5</c:v>
                </c:pt>
                <c:pt idx="1">
                  <c:v>70.2</c:v>
                </c:pt>
                <c:pt idx="2">
                  <c:v>69.7</c:v>
                </c:pt>
                <c:pt idx="3">
                  <c:v>66.5</c:v>
                </c:pt>
                <c:pt idx="4">
                  <c:v>58.7</c:v>
                </c:pt>
                <c:pt idx="5">
                  <c:v>55.2</c:v>
                </c:pt>
                <c:pt idx="6">
                  <c:v>54.5</c:v>
                </c:pt>
                <c:pt idx="7">
                  <c:v>55.2</c:v>
                </c:pt>
                <c:pt idx="8">
                  <c:v>60.4</c:v>
                </c:pt>
                <c:pt idx="9">
                  <c:v>68.3</c:v>
                </c:pt>
              </c:numCache>
            </c:numRef>
          </c:val>
          <c:extLst>
            <c:ext xmlns:c16="http://schemas.microsoft.com/office/drawing/2014/chart" uri="{C3380CC4-5D6E-409C-BE32-E72D297353CC}">
              <c16:uniqueId val="{00000001-37F8-4F38-88EF-50C3E92B1792}"/>
            </c:ext>
          </c:extLst>
        </c:ser>
        <c:dLbls>
          <c:showLegendKey val="0"/>
          <c:showVal val="0"/>
          <c:showCatName val="0"/>
          <c:showSerName val="0"/>
          <c:showPercent val="0"/>
          <c:showBubbleSize val="0"/>
        </c:dLbls>
        <c:gapWidth val="219"/>
        <c:overlap val="-27"/>
        <c:axId val="1915956688"/>
        <c:axId val="1915954192"/>
      </c:barChart>
      <c:lineChart>
        <c:grouping val="standard"/>
        <c:varyColors val="0"/>
        <c:ser>
          <c:idx val="2"/>
          <c:order val="1"/>
          <c:tx>
            <c:strRef>
              <c:f>آنالیز!$A$4</c:f>
              <c:strCache>
                <c:ptCount val="1"/>
                <c:pt idx="0">
                  <c:v>پروانه های ساخت</c:v>
                </c:pt>
              </c:strCache>
            </c:strRef>
          </c:tx>
          <c:spPr>
            <a:ln w="28575" cap="rnd">
              <a:solidFill>
                <a:schemeClr val="accent4">
                  <a:lumMod val="50000"/>
                </a:schemeClr>
              </a:solidFill>
              <a:prstDash val="sysDot"/>
              <a:round/>
            </a:ln>
            <a:effectLst/>
          </c:spPr>
          <c:marker>
            <c:symbol val="none"/>
          </c:marker>
          <c:cat>
            <c:numRef>
              <c:f>آنالیز!$B$1:$K$1</c:f>
              <c:numCache>
                <c:formatCode>General</c:formatCode>
                <c:ptCount val="10"/>
                <c:pt idx="0">
                  <c:v>1390</c:v>
                </c:pt>
                <c:pt idx="1">
                  <c:v>1391</c:v>
                </c:pt>
                <c:pt idx="2">
                  <c:v>1392</c:v>
                </c:pt>
                <c:pt idx="3">
                  <c:v>1393</c:v>
                </c:pt>
                <c:pt idx="4">
                  <c:v>1394</c:v>
                </c:pt>
                <c:pt idx="5">
                  <c:v>1395</c:v>
                </c:pt>
                <c:pt idx="6">
                  <c:v>1396</c:v>
                </c:pt>
                <c:pt idx="7">
                  <c:v>1397</c:v>
                </c:pt>
                <c:pt idx="8">
                  <c:v>1398</c:v>
                </c:pt>
                <c:pt idx="9">
                  <c:v>1399</c:v>
                </c:pt>
              </c:numCache>
            </c:numRef>
          </c:cat>
          <c:val>
            <c:numRef>
              <c:f>آنالیز!$B$4:$K$4</c:f>
              <c:numCache>
                <c:formatCode>#,##0</c:formatCode>
                <c:ptCount val="10"/>
                <c:pt idx="0">
                  <c:v>183385</c:v>
                </c:pt>
                <c:pt idx="1">
                  <c:v>206372</c:v>
                </c:pt>
                <c:pt idx="2">
                  <c:v>206395</c:v>
                </c:pt>
                <c:pt idx="3">
                  <c:v>120408</c:v>
                </c:pt>
                <c:pt idx="4">
                  <c:v>119895</c:v>
                </c:pt>
                <c:pt idx="5">
                  <c:v>118390</c:v>
                </c:pt>
                <c:pt idx="6">
                  <c:v>122081</c:v>
                </c:pt>
                <c:pt idx="7">
                  <c:v>142673</c:v>
                </c:pt>
                <c:pt idx="8">
                  <c:v>150558</c:v>
                </c:pt>
                <c:pt idx="9">
                  <c:v>174264</c:v>
                </c:pt>
              </c:numCache>
            </c:numRef>
          </c:val>
          <c:smooth val="1"/>
          <c:extLst>
            <c:ext xmlns:c16="http://schemas.microsoft.com/office/drawing/2014/chart" uri="{C3380CC4-5D6E-409C-BE32-E72D297353CC}">
              <c16:uniqueId val="{00000002-37F8-4F38-88EF-50C3E92B1792}"/>
            </c:ext>
          </c:extLst>
        </c:ser>
        <c:dLbls>
          <c:showLegendKey val="0"/>
          <c:showVal val="0"/>
          <c:showCatName val="0"/>
          <c:showSerName val="0"/>
          <c:showPercent val="0"/>
          <c:showBubbleSize val="0"/>
        </c:dLbls>
        <c:marker val="1"/>
        <c:smooth val="0"/>
        <c:axId val="1915964592"/>
        <c:axId val="1915965424"/>
      </c:lineChart>
      <c:catAx>
        <c:axId val="191596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915965424"/>
        <c:crosses val="autoZero"/>
        <c:auto val="1"/>
        <c:lblAlgn val="ctr"/>
        <c:lblOffset val="100"/>
        <c:noMultiLvlLbl val="0"/>
      </c:catAx>
      <c:valAx>
        <c:axId val="1915965424"/>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4">
                    <a:lumMod val="50000"/>
                  </a:schemeClr>
                </a:solidFill>
                <a:latin typeface="IRANSansXFaNum DemiBold" pitchFamily="2" charset="-78"/>
                <a:ea typeface="+mn-ea"/>
                <a:cs typeface="IRANSansXFaNum DemiBold" pitchFamily="2" charset="-78"/>
              </a:defRPr>
            </a:pPr>
            <a:endParaRPr lang="fa-IR"/>
          </a:p>
        </c:txPr>
        <c:crossAx val="1915964592"/>
        <c:crosses val="autoZero"/>
        <c:crossBetween val="between"/>
      </c:valAx>
      <c:valAx>
        <c:axId val="19159541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rgbClr val="002060"/>
                </a:solidFill>
                <a:latin typeface="IRANSansXFaNum DemiBold" pitchFamily="2" charset="-78"/>
                <a:ea typeface="+mn-ea"/>
                <a:cs typeface="IRANSansXFaNum DemiBold" pitchFamily="2" charset="-78"/>
              </a:defRPr>
            </a:pPr>
            <a:endParaRPr lang="fa-IR"/>
          </a:p>
        </c:txPr>
        <c:crossAx val="1915956688"/>
        <c:crosses val="max"/>
        <c:crossBetween val="between"/>
      </c:valAx>
      <c:catAx>
        <c:axId val="1915956688"/>
        <c:scaling>
          <c:orientation val="minMax"/>
        </c:scaling>
        <c:delete val="1"/>
        <c:axPos val="b"/>
        <c:numFmt formatCode="General" sourceLinked="1"/>
        <c:majorTickMark val="out"/>
        <c:minorTickMark val="none"/>
        <c:tickLblPos val="nextTo"/>
        <c:crossAx val="191595419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IRANSansXFaNum DemiBold" pitchFamily="2" charset="-78"/>
              <a:ea typeface="+mn-ea"/>
              <a:cs typeface="IRANSansXFaNum DemiBold"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IRANSansXFaNum DemiBold" pitchFamily="2" charset="-78"/>
          <a:cs typeface="IRANSansXFaNum DemiBold" pitchFamily="2" charset="-78"/>
        </a:defRPr>
      </a:pPr>
      <a:endParaRPr lang="fa-IR"/>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r>
              <a:rPr lang="fa-IR"/>
              <a:t>حاشیه سود ناخالص در مقابل پروانه های ساخت</a:t>
            </a:r>
            <a:endParaRPr lang="en-US"/>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endParaRPr lang="fa-IR"/>
        </a:p>
      </c:txPr>
    </c:title>
    <c:autoTitleDeleted val="0"/>
    <c:plotArea>
      <c:layout/>
      <c:barChart>
        <c:barDir val="col"/>
        <c:grouping val="clustered"/>
        <c:varyColors val="0"/>
        <c:ser>
          <c:idx val="1"/>
          <c:order val="0"/>
          <c:tx>
            <c:strRef>
              <c:f>آنالیز!$A$27</c:f>
              <c:strCache>
                <c:ptCount val="1"/>
                <c:pt idx="0">
                  <c:v>حاشیه سود ناخالص</c:v>
                </c:pt>
              </c:strCache>
            </c:strRef>
          </c:tx>
          <c:spPr>
            <a:solidFill>
              <a:srgbClr val="002060"/>
            </a:solidFill>
            <a:ln>
              <a:solidFill>
                <a:srgbClr val="002060"/>
              </a:solidFill>
            </a:ln>
            <a:effectLst/>
          </c:spPr>
          <c:invertIfNegative val="0"/>
          <c:cat>
            <c:numRef>
              <c:f>آنالیز!$B$1:$K$1</c:f>
              <c:numCache>
                <c:formatCode>General</c:formatCode>
                <c:ptCount val="10"/>
                <c:pt idx="0">
                  <c:v>1390</c:v>
                </c:pt>
                <c:pt idx="1">
                  <c:v>1391</c:v>
                </c:pt>
                <c:pt idx="2">
                  <c:v>1392</c:v>
                </c:pt>
                <c:pt idx="3">
                  <c:v>1393</c:v>
                </c:pt>
                <c:pt idx="4">
                  <c:v>1394</c:v>
                </c:pt>
                <c:pt idx="5">
                  <c:v>1395</c:v>
                </c:pt>
                <c:pt idx="6">
                  <c:v>1396</c:v>
                </c:pt>
                <c:pt idx="7">
                  <c:v>1397</c:v>
                </c:pt>
                <c:pt idx="8">
                  <c:v>1398</c:v>
                </c:pt>
                <c:pt idx="9">
                  <c:v>1399</c:v>
                </c:pt>
              </c:numCache>
            </c:numRef>
          </c:cat>
          <c:val>
            <c:numRef>
              <c:f>آنالیز!$B$27:$K$27</c:f>
              <c:numCache>
                <c:formatCode>0%</c:formatCode>
                <c:ptCount val="10"/>
                <c:pt idx="0">
                  <c:v>0.27165930483780515</c:v>
                </c:pt>
                <c:pt idx="1">
                  <c:v>0.36298058754116569</c:v>
                </c:pt>
                <c:pt idx="2">
                  <c:v>0.40214444912957048</c:v>
                </c:pt>
                <c:pt idx="3">
                  <c:v>0.38221889793514569</c:v>
                </c:pt>
                <c:pt idx="4">
                  <c:v>0.25013368560583782</c:v>
                </c:pt>
                <c:pt idx="5">
                  <c:v>0.21917669717123742</c:v>
                </c:pt>
                <c:pt idx="6">
                  <c:v>0.34601730697728905</c:v>
                </c:pt>
                <c:pt idx="7">
                  <c:v>0.3424686448311301</c:v>
                </c:pt>
                <c:pt idx="8">
                  <c:v>0.41801053538592736</c:v>
                </c:pt>
                <c:pt idx="9">
                  <c:v>0.51403984746514231</c:v>
                </c:pt>
              </c:numCache>
            </c:numRef>
          </c:val>
          <c:extLst>
            <c:ext xmlns:c16="http://schemas.microsoft.com/office/drawing/2014/chart" uri="{C3380CC4-5D6E-409C-BE32-E72D297353CC}">
              <c16:uniqueId val="{00000000-DFE5-4EF5-967B-338DEF38E800}"/>
            </c:ext>
          </c:extLst>
        </c:ser>
        <c:dLbls>
          <c:showLegendKey val="0"/>
          <c:showVal val="0"/>
          <c:showCatName val="0"/>
          <c:showSerName val="0"/>
          <c:showPercent val="0"/>
          <c:showBubbleSize val="0"/>
        </c:dLbls>
        <c:gapWidth val="219"/>
        <c:overlap val="-27"/>
        <c:axId val="1915956688"/>
        <c:axId val="1915954192"/>
      </c:barChart>
      <c:lineChart>
        <c:grouping val="standard"/>
        <c:varyColors val="0"/>
        <c:ser>
          <c:idx val="2"/>
          <c:order val="1"/>
          <c:tx>
            <c:strRef>
              <c:f>آنالیز!$A$4</c:f>
              <c:strCache>
                <c:ptCount val="1"/>
                <c:pt idx="0">
                  <c:v>پروانه های ساخت</c:v>
                </c:pt>
              </c:strCache>
            </c:strRef>
          </c:tx>
          <c:spPr>
            <a:ln w="28575" cap="rnd">
              <a:solidFill>
                <a:schemeClr val="accent4">
                  <a:lumMod val="50000"/>
                </a:schemeClr>
              </a:solidFill>
              <a:prstDash val="sysDot"/>
              <a:round/>
            </a:ln>
            <a:effectLst/>
          </c:spPr>
          <c:marker>
            <c:symbol val="none"/>
          </c:marker>
          <c:cat>
            <c:numRef>
              <c:f>آنالیز!$B$1:$K$1</c:f>
              <c:numCache>
                <c:formatCode>General</c:formatCode>
                <c:ptCount val="10"/>
                <c:pt idx="0">
                  <c:v>1390</c:v>
                </c:pt>
                <c:pt idx="1">
                  <c:v>1391</c:v>
                </c:pt>
                <c:pt idx="2">
                  <c:v>1392</c:v>
                </c:pt>
                <c:pt idx="3">
                  <c:v>1393</c:v>
                </c:pt>
                <c:pt idx="4">
                  <c:v>1394</c:v>
                </c:pt>
                <c:pt idx="5">
                  <c:v>1395</c:v>
                </c:pt>
                <c:pt idx="6">
                  <c:v>1396</c:v>
                </c:pt>
                <c:pt idx="7">
                  <c:v>1397</c:v>
                </c:pt>
                <c:pt idx="8">
                  <c:v>1398</c:v>
                </c:pt>
                <c:pt idx="9">
                  <c:v>1399</c:v>
                </c:pt>
              </c:numCache>
            </c:numRef>
          </c:cat>
          <c:val>
            <c:numRef>
              <c:f>آنالیز!$B$4:$K$4</c:f>
              <c:numCache>
                <c:formatCode>#,##0</c:formatCode>
                <c:ptCount val="10"/>
                <c:pt idx="0">
                  <c:v>183385</c:v>
                </c:pt>
                <c:pt idx="1">
                  <c:v>206372</c:v>
                </c:pt>
                <c:pt idx="2">
                  <c:v>206395</c:v>
                </c:pt>
                <c:pt idx="3">
                  <c:v>120408</c:v>
                </c:pt>
                <c:pt idx="4">
                  <c:v>119895</c:v>
                </c:pt>
                <c:pt idx="5">
                  <c:v>118390</c:v>
                </c:pt>
                <c:pt idx="6">
                  <c:v>122081</c:v>
                </c:pt>
                <c:pt idx="7">
                  <c:v>142673</c:v>
                </c:pt>
                <c:pt idx="8">
                  <c:v>150558</c:v>
                </c:pt>
                <c:pt idx="9">
                  <c:v>174264</c:v>
                </c:pt>
              </c:numCache>
            </c:numRef>
          </c:val>
          <c:smooth val="1"/>
          <c:extLst>
            <c:ext xmlns:c16="http://schemas.microsoft.com/office/drawing/2014/chart" uri="{C3380CC4-5D6E-409C-BE32-E72D297353CC}">
              <c16:uniqueId val="{00000001-DFE5-4EF5-967B-338DEF38E800}"/>
            </c:ext>
          </c:extLst>
        </c:ser>
        <c:dLbls>
          <c:showLegendKey val="0"/>
          <c:showVal val="0"/>
          <c:showCatName val="0"/>
          <c:showSerName val="0"/>
          <c:showPercent val="0"/>
          <c:showBubbleSize val="0"/>
        </c:dLbls>
        <c:marker val="1"/>
        <c:smooth val="0"/>
        <c:axId val="1915964592"/>
        <c:axId val="1915965424"/>
      </c:lineChart>
      <c:catAx>
        <c:axId val="19159645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915965424"/>
        <c:crosses val="autoZero"/>
        <c:auto val="1"/>
        <c:lblAlgn val="ctr"/>
        <c:lblOffset val="100"/>
        <c:noMultiLvlLbl val="0"/>
      </c:catAx>
      <c:valAx>
        <c:axId val="1915965424"/>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accent4">
                    <a:lumMod val="50000"/>
                  </a:schemeClr>
                </a:solidFill>
                <a:latin typeface="IRANSansXFaNum DemiBold" pitchFamily="2" charset="-78"/>
                <a:ea typeface="+mn-ea"/>
                <a:cs typeface="IRANSansXFaNum DemiBold" pitchFamily="2" charset="-78"/>
              </a:defRPr>
            </a:pPr>
            <a:endParaRPr lang="fa-IR"/>
          </a:p>
        </c:txPr>
        <c:crossAx val="1915964592"/>
        <c:crosses val="autoZero"/>
        <c:crossBetween val="between"/>
      </c:valAx>
      <c:valAx>
        <c:axId val="191595419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rgbClr val="002060"/>
                </a:solidFill>
                <a:latin typeface="IRANSansXFaNum DemiBold" pitchFamily="2" charset="-78"/>
                <a:ea typeface="+mn-ea"/>
                <a:cs typeface="IRANSansXFaNum DemiBold" pitchFamily="2" charset="-78"/>
              </a:defRPr>
            </a:pPr>
            <a:endParaRPr lang="fa-IR"/>
          </a:p>
        </c:txPr>
        <c:crossAx val="1915956688"/>
        <c:crosses val="max"/>
        <c:crossBetween val="between"/>
      </c:valAx>
      <c:catAx>
        <c:axId val="1915956688"/>
        <c:scaling>
          <c:orientation val="minMax"/>
        </c:scaling>
        <c:delete val="1"/>
        <c:axPos val="b"/>
        <c:numFmt formatCode="General" sourceLinked="1"/>
        <c:majorTickMark val="out"/>
        <c:minorTickMark val="none"/>
        <c:tickLblPos val="nextTo"/>
        <c:crossAx val="1915954192"/>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IRANSansXFaNum DemiBold" pitchFamily="2" charset="-78"/>
              <a:ea typeface="+mn-ea"/>
              <a:cs typeface="IRANSansXFaNum DemiBold" pitchFamily="2" charset="-78"/>
            </a:defRPr>
          </a:pPr>
          <a:endParaRPr lang="fa-IR"/>
        </a:p>
      </c:txPr>
    </c:legend>
    <c:plotVisOnly val="1"/>
    <c:dispBlanksAs val="gap"/>
    <c:showDLblsOverMax val="0"/>
  </c:chart>
  <c:spPr>
    <a:solidFill>
      <a:schemeClr val="bg1"/>
    </a:solidFill>
    <a:ln w="9525" cap="flat" cmpd="sng" algn="ctr">
      <a:noFill/>
      <a:round/>
    </a:ln>
    <a:effectLst/>
  </c:spPr>
  <c:txPr>
    <a:bodyPr/>
    <a:lstStyle/>
    <a:p>
      <a:pPr>
        <a:defRPr>
          <a:solidFill>
            <a:schemeClr val="tx1"/>
          </a:solidFill>
          <a:latin typeface="IRANSansXFaNum DemiBold" pitchFamily="2" charset="-78"/>
          <a:cs typeface="IRANSansXFaNum DemiBold" pitchFamily="2" charset="-78"/>
        </a:defRPr>
      </a:pPr>
      <a:endParaRPr lang="fa-I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IRANSansXFaNum DemiBold" pitchFamily="2" charset="-78"/>
                <a:ea typeface="+mn-ea"/>
                <a:cs typeface="IRANSansXFaNum DemiBold" pitchFamily="2" charset="-78"/>
              </a:defRPr>
            </a:pPr>
            <a:r>
              <a:rPr lang="fa-IR"/>
              <a:t>نرخ سیمان به شمش فخوز</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IRANSansXFaNum DemiBold" pitchFamily="2" charset="-78"/>
              <a:ea typeface="+mn-ea"/>
              <a:cs typeface="IRANSansXFaNum DemiBold" pitchFamily="2" charset="-78"/>
            </a:defRPr>
          </a:pPr>
          <a:endParaRPr lang="fa-IR"/>
        </a:p>
      </c:txPr>
    </c:title>
    <c:autoTitleDeleted val="0"/>
    <c:plotArea>
      <c:layout/>
      <c:lineChart>
        <c:grouping val="standard"/>
        <c:varyColors val="0"/>
        <c:ser>
          <c:idx val="0"/>
          <c:order val="0"/>
          <c:tx>
            <c:strRef>
              <c:f>'تولید و فروش (پیش بینی)'!$B$24</c:f>
              <c:strCache>
                <c:ptCount val="1"/>
                <c:pt idx="0">
                  <c:v>سیمان به شمش فخوز</c:v>
                </c:pt>
              </c:strCache>
            </c:strRef>
          </c:tx>
          <c:spPr>
            <a:ln w="28575" cap="rnd">
              <a:solidFill>
                <a:srgbClr val="002060"/>
              </a:solidFill>
              <a:round/>
            </a:ln>
            <a:effectLst/>
          </c:spPr>
          <c:marker>
            <c:symbol val="none"/>
          </c:marker>
          <c:dPt>
            <c:idx val="11"/>
            <c:marker>
              <c:symbol val="none"/>
            </c:marker>
            <c:bubble3D val="0"/>
            <c:spPr>
              <a:ln w="28575" cap="rnd">
                <a:solidFill>
                  <a:srgbClr val="002060"/>
                </a:solidFill>
                <a:prstDash val="sysDot"/>
                <a:round/>
              </a:ln>
              <a:effectLst/>
            </c:spPr>
            <c:extLst>
              <c:ext xmlns:c16="http://schemas.microsoft.com/office/drawing/2014/chart" uri="{C3380CC4-5D6E-409C-BE32-E72D297353CC}">
                <c16:uniqueId val="{00000001-009D-4E25-BBF3-8241D92BA54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RANSansXFaNum DemiBold" pitchFamily="2" charset="-78"/>
                    <a:ea typeface="+mn-ea"/>
                    <a:cs typeface="IRANSansXFaNum DemiBold"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numRef>
              <c:f>'تولید و فروش (پیش بینی)'!$C$20:$N$20</c:f>
              <c:numCache>
                <c:formatCode>General</c:formatCode>
                <c:ptCount val="12"/>
                <c:pt idx="0">
                  <c:v>1390</c:v>
                </c:pt>
                <c:pt idx="1">
                  <c:v>1391</c:v>
                </c:pt>
                <c:pt idx="2">
                  <c:v>1392</c:v>
                </c:pt>
                <c:pt idx="3">
                  <c:v>1393</c:v>
                </c:pt>
                <c:pt idx="4">
                  <c:v>1394</c:v>
                </c:pt>
                <c:pt idx="5">
                  <c:v>1395</c:v>
                </c:pt>
                <c:pt idx="6">
                  <c:v>1396</c:v>
                </c:pt>
                <c:pt idx="7">
                  <c:v>1397</c:v>
                </c:pt>
                <c:pt idx="8">
                  <c:v>1398</c:v>
                </c:pt>
                <c:pt idx="9">
                  <c:v>1399</c:v>
                </c:pt>
                <c:pt idx="10">
                  <c:v>1400</c:v>
                </c:pt>
                <c:pt idx="11">
                  <c:v>1401</c:v>
                </c:pt>
              </c:numCache>
            </c:numRef>
          </c:cat>
          <c:val>
            <c:numRef>
              <c:f>'تولید و فروش (پیش بینی)'!$C$24:$N$24</c:f>
              <c:numCache>
                <c:formatCode>0%</c:formatCode>
                <c:ptCount val="12"/>
                <c:pt idx="0">
                  <c:v>8.1855209847677884E-2</c:v>
                </c:pt>
                <c:pt idx="1">
                  <c:v>5.4472022428398222E-2</c:v>
                </c:pt>
                <c:pt idx="2">
                  <c:v>5.7326953124707834E-2</c:v>
                </c:pt>
                <c:pt idx="3">
                  <c:v>6.6324287720260666E-2</c:v>
                </c:pt>
                <c:pt idx="4">
                  <c:v>8.0104597542191389E-2</c:v>
                </c:pt>
                <c:pt idx="5">
                  <c:v>6.5024551204547379E-2</c:v>
                </c:pt>
                <c:pt idx="6">
                  <c:v>6.3386699859147522E-2</c:v>
                </c:pt>
                <c:pt idx="7">
                  <c:v>4.559460145063466E-2</c:v>
                </c:pt>
                <c:pt idx="8">
                  <c:v>4.5676845733995913E-2</c:v>
                </c:pt>
                <c:pt idx="9">
                  <c:v>2.9348782160705581E-2</c:v>
                </c:pt>
                <c:pt idx="10">
                  <c:v>3.2469332595341543E-2</c:v>
                </c:pt>
                <c:pt idx="11">
                  <c:v>4.0322580645161289E-2</c:v>
                </c:pt>
              </c:numCache>
            </c:numRef>
          </c:val>
          <c:smooth val="1"/>
          <c:extLst>
            <c:ext xmlns:c16="http://schemas.microsoft.com/office/drawing/2014/chart" uri="{C3380CC4-5D6E-409C-BE32-E72D297353CC}">
              <c16:uniqueId val="{00000002-009D-4E25-BBF3-8241D92BA54F}"/>
            </c:ext>
          </c:extLst>
        </c:ser>
        <c:dLbls>
          <c:showLegendKey val="0"/>
          <c:showVal val="0"/>
          <c:showCatName val="0"/>
          <c:showSerName val="0"/>
          <c:showPercent val="0"/>
          <c:showBubbleSize val="0"/>
        </c:dLbls>
        <c:smooth val="0"/>
        <c:axId val="1539432864"/>
        <c:axId val="1544281136"/>
      </c:lineChart>
      <c:catAx>
        <c:axId val="153943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100" b="0" i="0" u="none" strike="noStrike" kern="1200" baseline="0">
                <a:solidFill>
                  <a:schemeClr val="tx1">
                    <a:lumMod val="65000"/>
                    <a:lumOff val="35000"/>
                  </a:schemeClr>
                </a:solidFill>
                <a:latin typeface="IRANSansXFaNum DemiBold" pitchFamily="2" charset="-78"/>
                <a:ea typeface="+mn-ea"/>
                <a:cs typeface="IRANSansXFaNum DemiBold" pitchFamily="2" charset="-78"/>
              </a:defRPr>
            </a:pPr>
            <a:endParaRPr lang="fa-IR"/>
          </a:p>
        </c:txPr>
        <c:crossAx val="1544281136"/>
        <c:crosses val="autoZero"/>
        <c:auto val="1"/>
        <c:lblAlgn val="ctr"/>
        <c:lblOffset val="100"/>
        <c:noMultiLvlLbl val="0"/>
      </c:catAx>
      <c:valAx>
        <c:axId val="1544281136"/>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RANSansXFaNum DemiBold" pitchFamily="2" charset="-78"/>
                <a:ea typeface="+mn-ea"/>
                <a:cs typeface="IRANSansXFaNum DemiBold" pitchFamily="2" charset="-78"/>
              </a:defRPr>
            </a:pPr>
            <a:endParaRPr lang="fa-IR"/>
          </a:p>
        </c:txPr>
        <c:crossAx val="15394328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IRANSansXFaNum DemiBold" pitchFamily="2" charset="-78"/>
          <a:cs typeface="IRANSansXFaNum DemiBold" pitchFamily="2" charset="-78"/>
        </a:defRPr>
      </a:pPr>
      <a:endParaRPr lang="fa-I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r>
              <a:rPr lang="fa-IR"/>
              <a:t>فروش سیمان (تن) </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endParaRPr lang="fa-IR"/>
        </a:p>
      </c:txPr>
    </c:title>
    <c:autoTitleDeleted val="0"/>
    <c:plotArea>
      <c:layout/>
      <c:barChart>
        <c:barDir val="col"/>
        <c:grouping val="clustered"/>
        <c:varyColors val="0"/>
        <c:ser>
          <c:idx val="0"/>
          <c:order val="0"/>
          <c:tx>
            <c:strRef>
              <c:f>'تولید و فروش (پیش بینی)'!$B$7</c:f>
              <c:strCache>
                <c:ptCount val="1"/>
                <c:pt idx="0">
                  <c:v>سیمان </c:v>
                </c:pt>
              </c:strCache>
            </c:strRef>
          </c:tx>
          <c:spPr>
            <a:solidFill>
              <a:srgbClr val="002060"/>
            </a:solidFill>
            <a:ln>
              <a:solidFill>
                <a:srgbClr val="002060"/>
              </a:solidFill>
            </a:ln>
            <a:effectLst/>
          </c:spPr>
          <c:invertIfNegative val="0"/>
          <c:dPt>
            <c:idx val="11"/>
            <c:invertIfNegative val="0"/>
            <c:bubble3D val="0"/>
            <c:spPr>
              <a:noFill/>
              <a:ln>
                <a:solidFill>
                  <a:srgbClr val="002060"/>
                </a:solidFill>
                <a:prstDash val="dash"/>
              </a:ln>
              <a:effectLst/>
            </c:spPr>
            <c:extLst>
              <c:ext xmlns:c16="http://schemas.microsoft.com/office/drawing/2014/chart" uri="{C3380CC4-5D6E-409C-BE32-E72D297353CC}">
                <c16:uniqueId val="{00000001-597B-44B0-99A0-8120F91CB5CC}"/>
              </c:ext>
            </c:extLst>
          </c:dPt>
          <c:cat>
            <c:numRef>
              <c:f>'تولید و فروش (پیش بینی)'!$C$6:$N$6</c:f>
              <c:numCache>
                <c:formatCode>General</c:formatCode>
                <c:ptCount val="12"/>
                <c:pt idx="0">
                  <c:v>1390</c:v>
                </c:pt>
                <c:pt idx="1">
                  <c:v>1391</c:v>
                </c:pt>
                <c:pt idx="2">
                  <c:v>1392</c:v>
                </c:pt>
                <c:pt idx="3">
                  <c:v>1393</c:v>
                </c:pt>
                <c:pt idx="4">
                  <c:v>1394</c:v>
                </c:pt>
                <c:pt idx="5">
                  <c:v>1395</c:v>
                </c:pt>
                <c:pt idx="6">
                  <c:v>1396</c:v>
                </c:pt>
                <c:pt idx="7">
                  <c:v>1397</c:v>
                </c:pt>
                <c:pt idx="8">
                  <c:v>1398</c:v>
                </c:pt>
                <c:pt idx="9">
                  <c:v>1399</c:v>
                </c:pt>
                <c:pt idx="10">
                  <c:v>1400</c:v>
                </c:pt>
                <c:pt idx="11">
                  <c:v>1401</c:v>
                </c:pt>
              </c:numCache>
            </c:numRef>
          </c:cat>
          <c:val>
            <c:numRef>
              <c:f>'تولید و فروش (پیش بینی)'!$C$7:$N$7</c:f>
              <c:numCache>
                <c:formatCode>#,##0</c:formatCode>
                <c:ptCount val="12"/>
                <c:pt idx="0">
                  <c:v>1496690</c:v>
                </c:pt>
                <c:pt idx="1">
                  <c:v>1847134</c:v>
                </c:pt>
                <c:pt idx="2">
                  <c:v>1948481</c:v>
                </c:pt>
                <c:pt idx="3">
                  <c:v>1785519</c:v>
                </c:pt>
                <c:pt idx="4">
                  <c:v>1260249</c:v>
                </c:pt>
                <c:pt idx="5">
                  <c:v>1503198</c:v>
                </c:pt>
                <c:pt idx="6">
                  <c:v>1264730</c:v>
                </c:pt>
                <c:pt idx="7">
                  <c:v>1317428</c:v>
                </c:pt>
                <c:pt idx="8">
                  <c:v>1283543</c:v>
                </c:pt>
                <c:pt idx="9">
                  <c:v>1820394</c:v>
                </c:pt>
                <c:pt idx="10">
                  <c:v>1571317</c:v>
                </c:pt>
                <c:pt idx="11">
                  <c:v>1600000</c:v>
                </c:pt>
              </c:numCache>
            </c:numRef>
          </c:val>
          <c:extLst>
            <c:ext xmlns:c16="http://schemas.microsoft.com/office/drawing/2014/chart" uri="{C3380CC4-5D6E-409C-BE32-E72D297353CC}">
              <c16:uniqueId val="{00000000-597B-44B0-99A0-8120F91CB5CC}"/>
            </c:ext>
          </c:extLst>
        </c:ser>
        <c:dLbls>
          <c:showLegendKey val="0"/>
          <c:showVal val="0"/>
          <c:showCatName val="0"/>
          <c:showSerName val="0"/>
          <c:showPercent val="0"/>
          <c:showBubbleSize val="0"/>
        </c:dLbls>
        <c:gapWidth val="219"/>
        <c:overlap val="-27"/>
        <c:axId val="1606028304"/>
        <c:axId val="1626239008"/>
      </c:barChart>
      <c:catAx>
        <c:axId val="1606028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626239008"/>
        <c:crosses val="autoZero"/>
        <c:auto val="1"/>
        <c:lblAlgn val="ctr"/>
        <c:lblOffset val="100"/>
        <c:noMultiLvlLbl val="0"/>
      </c:catAx>
      <c:valAx>
        <c:axId val="1626239008"/>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60602830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IRANSansXFaNum DemiBold" pitchFamily="2" charset="-78"/>
          <a:cs typeface="IRANSansXFaNum DemiBold" pitchFamily="2" charset="-78"/>
        </a:defRPr>
      </a:pPr>
      <a:endParaRPr lang="fa-I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IRANSansXFaNum DemiBold" pitchFamily="2" charset="-78"/>
              <a:ea typeface="+mn-ea"/>
              <a:cs typeface="IRANSansXFaNum DemiBold" pitchFamily="2" charset="-78"/>
            </a:defRPr>
          </a:pPr>
          <a:endParaRPr lang="fa-IR"/>
        </a:p>
      </c:txPr>
    </c:title>
    <c:autoTitleDeleted val="0"/>
    <c:plotArea>
      <c:layout/>
      <c:lineChart>
        <c:grouping val="standard"/>
        <c:varyColors val="0"/>
        <c:ser>
          <c:idx val="0"/>
          <c:order val="0"/>
          <c:tx>
            <c:strRef>
              <c:f>'سود و زیان'!$B$16</c:f>
              <c:strCache>
                <c:ptCount val="1"/>
                <c:pt idx="0">
                  <c:v>حاشیه سود ناخالص</c:v>
                </c:pt>
              </c:strCache>
            </c:strRef>
          </c:tx>
          <c:spPr>
            <a:ln w="28575" cap="rnd">
              <a:solidFill>
                <a:srgbClr val="002060"/>
              </a:solidFill>
              <a:round/>
            </a:ln>
            <a:effectLst/>
          </c:spPr>
          <c:marker>
            <c:symbol val="none"/>
          </c:marker>
          <c:dPt>
            <c:idx val="5"/>
            <c:marker>
              <c:symbol val="none"/>
            </c:marker>
            <c:bubble3D val="0"/>
            <c:spPr>
              <a:ln w="28575" cap="rnd">
                <a:solidFill>
                  <a:srgbClr val="002060"/>
                </a:solidFill>
                <a:prstDash val="sysDot"/>
                <a:round/>
              </a:ln>
              <a:effectLst/>
            </c:spPr>
            <c:extLst>
              <c:ext xmlns:c16="http://schemas.microsoft.com/office/drawing/2014/chart" uri="{C3380CC4-5D6E-409C-BE32-E72D297353CC}">
                <c16:uniqueId val="{00000003-1C1D-491C-AF95-147CE831A1DC}"/>
              </c:ext>
            </c:extLst>
          </c:dPt>
          <c:dPt>
            <c:idx val="6"/>
            <c:marker>
              <c:symbol val="none"/>
            </c:marker>
            <c:bubble3D val="0"/>
            <c:spPr>
              <a:ln w="28575" cap="rnd">
                <a:solidFill>
                  <a:srgbClr val="002060"/>
                </a:solidFill>
                <a:prstDash val="sysDot"/>
                <a:round/>
              </a:ln>
              <a:effectLst/>
            </c:spPr>
            <c:extLst>
              <c:ext xmlns:c16="http://schemas.microsoft.com/office/drawing/2014/chart" uri="{C3380CC4-5D6E-409C-BE32-E72D297353CC}">
                <c16:uniqueId val="{00000004-1C1D-491C-AF95-147CE831A1DC}"/>
              </c:ext>
            </c:extLst>
          </c:dPt>
          <c:dPt>
            <c:idx val="9"/>
            <c:marker>
              <c:symbol val="none"/>
            </c:marker>
            <c:bubble3D val="0"/>
            <c:spPr>
              <a:ln w="28575" cap="rnd">
                <a:solidFill>
                  <a:srgbClr val="002060"/>
                </a:solidFill>
                <a:prstDash val="sysDot"/>
                <a:round/>
              </a:ln>
              <a:effectLst/>
            </c:spPr>
            <c:extLst>
              <c:ext xmlns:c16="http://schemas.microsoft.com/office/drawing/2014/chart" uri="{C3380CC4-5D6E-409C-BE32-E72D297353CC}">
                <c16:uniqueId val="{00000001-1C1D-491C-AF95-147CE831A1DC}"/>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IRANSansXFaNum DemiBold" pitchFamily="2" charset="-78"/>
                    <a:ea typeface="+mn-ea"/>
                    <a:cs typeface="IRANSansXFaNum DemiBold" pitchFamily="2" charset="-78"/>
                  </a:defRPr>
                </a:pPr>
                <a:endParaRPr lang="fa-IR"/>
              </a:p>
            </c:txPr>
            <c:dLblPos val="t"/>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'سود و زیان'!$C$1:$K$1</c15:sqref>
                  </c15:fullRef>
                </c:ext>
              </c:extLst>
              <c:f>('سود و زیان'!$C$1:$G$1,'سود و زیان'!$J$1:$K$1)</c:f>
              <c:strCache>
                <c:ptCount val="7"/>
                <c:pt idx="0">
                  <c:v>سال 1395</c:v>
                </c:pt>
                <c:pt idx="1">
                  <c:v>سال 1396</c:v>
                </c:pt>
                <c:pt idx="2">
                  <c:v>سال 1397</c:v>
                </c:pt>
                <c:pt idx="3">
                  <c:v>سال 1398</c:v>
                </c:pt>
                <c:pt idx="4">
                  <c:v>سال 1399</c:v>
                </c:pt>
                <c:pt idx="5">
                  <c:v>سال 1400</c:v>
                </c:pt>
                <c:pt idx="6">
                  <c:v>سال 1401</c:v>
                </c:pt>
              </c:strCache>
            </c:strRef>
          </c:cat>
          <c:val>
            <c:numRef>
              <c:extLst>
                <c:ext xmlns:c15="http://schemas.microsoft.com/office/drawing/2012/chart" uri="{02D57815-91ED-43cb-92C2-25804820EDAC}">
                  <c15:fullRef>
                    <c15:sqref>'سود و زیان'!$C$16:$K$16</c15:sqref>
                  </c15:fullRef>
                </c:ext>
              </c:extLst>
              <c:f>('سود و زیان'!$C$16:$G$16,'سود و زیان'!$J$16:$K$16)</c:f>
              <c:numCache>
                <c:formatCode>0%</c:formatCode>
                <c:ptCount val="7"/>
                <c:pt idx="0">
                  <c:v>0.21917669717123742</c:v>
                </c:pt>
                <c:pt idx="1">
                  <c:v>0.34601730697728905</c:v>
                </c:pt>
                <c:pt idx="2">
                  <c:v>0.3424686448311301</c:v>
                </c:pt>
                <c:pt idx="3">
                  <c:v>0.41801053538592736</c:v>
                </c:pt>
                <c:pt idx="4">
                  <c:v>0.51403984746514231</c:v>
                </c:pt>
                <c:pt idx="5">
                  <c:v>0.55834739608471828</c:v>
                </c:pt>
                <c:pt idx="6">
                  <c:v>0.51117765192307696</c:v>
                </c:pt>
              </c:numCache>
            </c:numRef>
          </c:val>
          <c:smooth val="1"/>
          <c:extLst>
            <c:ext xmlns:c16="http://schemas.microsoft.com/office/drawing/2014/chart" uri="{C3380CC4-5D6E-409C-BE32-E72D297353CC}">
              <c16:uniqueId val="{00000002-1C1D-491C-AF95-147CE831A1DC}"/>
            </c:ext>
          </c:extLst>
        </c:ser>
        <c:dLbls>
          <c:showLegendKey val="0"/>
          <c:showVal val="0"/>
          <c:showCatName val="0"/>
          <c:showSerName val="0"/>
          <c:showPercent val="0"/>
          <c:showBubbleSize val="0"/>
        </c:dLbls>
        <c:smooth val="0"/>
        <c:axId val="1539432864"/>
        <c:axId val="1544281136"/>
      </c:lineChart>
      <c:catAx>
        <c:axId val="153943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2700000" spcFirstLastPara="1" vertOverflow="ellipsis" wrap="square" anchor="ctr" anchorCtr="1"/>
          <a:lstStyle/>
          <a:p>
            <a:pPr>
              <a:defRPr sz="1000" b="0" i="0" u="none" strike="noStrike" kern="1200" baseline="0">
                <a:solidFill>
                  <a:schemeClr val="tx1">
                    <a:lumMod val="65000"/>
                    <a:lumOff val="35000"/>
                  </a:schemeClr>
                </a:solidFill>
                <a:latin typeface="IRANSansXFaNum DemiBold" pitchFamily="2" charset="-78"/>
                <a:ea typeface="+mn-ea"/>
                <a:cs typeface="IRANSansXFaNum DemiBold" pitchFamily="2" charset="-78"/>
              </a:defRPr>
            </a:pPr>
            <a:endParaRPr lang="fa-IR"/>
          </a:p>
        </c:txPr>
        <c:crossAx val="1544281136"/>
        <c:crosses val="autoZero"/>
        <c:auto val="1"/>
        <c:lblAlgn val="ctr"/>
        <c:lblOffset val="100"/>
        <c:noMultiLvlLbl val="0"/>
      </c:catAx>
      <c:valAx>
        <c:axId val="1544281136"/>
        <c:scaling>
          <c:orientation val="minMax"/>
          <c:min val="0.15000000000000002"/>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IRANSansXFaNum DemiBold" pitchFamily="2" charset="-78"/>
                <a:ea typeface="+mn-ea"/>
                <a:cs typeface="IRANSansXFaNum DemiBold" pitchFamily="2" charset="-78"/>
              </a:defRPr>
            </a:pPr>
            <a:endParaRPr lang="fa-IR"/>
          </a:p>
        </c:txPr>
        <c:crossAx val="15394328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latin typeface="IRANSansXFaNum DemiBold" pitchFamily="2" charset="-78"/>
          <a:cs typeface="IRANSansXFaNum DemiBold" pitchFamily="2" charset="-78"/>
        </a:defRPr>
      </a:pPr>
      <a:endParaRPr lang="fa-I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r>
              <a:rPr lang="fa-IR"/>
              <a:t>پروانه های احداث ساختمان (کل کشور) </a:t>
            </a:r>
          </a:p>
        </c:rich>
      </c:tx>
      <c:layout>
        <c:manualLayout>
          <c:xMode val="edge"/>
          <c:yMode val="edge"/>
          <c:x val="0.5784559734601703"/>
          <c:y val="1.7513134851138354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endParaRPr lang="fa-IR"/>
        </a:p>
      </c:txPr>
    </c:title>
    <c:autoTitleDeleted val="0"/>
    <c:plotArea>
      <c:layout/>
      <c:barChart>
        <c:barDir val="col"/>
        <c:grouping val="clustered"/>
        <c:varyColors val="0"/>
        <c:ser>
          <c:idx val="0"/>
          <c:order val="0"/>
          <c:tx>
            <c:strRef>
              <c:f>'اطلاعات بازار مسکن'!$B$2</c:f>
              <c:strCache>
                <c:ptCount val="1"/>
                <c:pt idx="0">
                  <c:v>جمع</c:v>
                </c:pt>
              </c:strCache>
            </c:strRef>
          </c:tx>
          <c:spPr>
            <a:solidFill>
              <a:srgbClr val="002060"/>
            </a:solidFill>
            <a:ln>
              <a:solidFill>
                <a:srgbClr val="002060"/>
              </a:solidFill>
            </a:ln>
            <a:effectLst/>
          </c:spPr>
          <c:invertIfNegative val="0"/>
          <c:dPt>
            <c:idx val="11"/>
            <c:invertIfNegative val="0"/>
            <c:bubble3D val="0"/>
            <c:spPr>
              <a:noFill/>
              <a:ln>
                <a:solidFill>
                  <a:srgbClr val="002060"/>
                </a:solidFill>
                <a:prstDash val="dash"/>
              </a:ln>
              <a:effectLst/>
            </c:spPr>
            <c:extLst>
              <c:ext xmlns:c16="http://schemas.microsoft.com/office/drawing/2014/chart" uri="{C3380CC4-5D6E-409C-BE32-E72D297353CC}">
                <c16:uniqueId val="{00000001-22FB-49DE-960C-7DD96FD3843D}"/>
              </c:ext>
            </c:extLst>
          </c:dPt>
          <c:cat>
            <c:numRef>
              <c:f>'اطلاعات بازار مسکن'!$A$5:$A$14</c:f>
              <c:numCache>
                <c:formatCode>0</c:formatCode>
                <c:ptCount val="10"/>
                <c:pt idx="0">
                  <c:v>1390</c:v>
                </c:pt>
                <c:pt idx="1">
                  <c:v>1391</c:v>
                </c:pt>
                <c:pt idx="2">
                  <c:v>1392</c:v>
                </c:pt>
                <c:pt idx="3">
                  <c:v>1393</c:v>
                </c:pt>
                <c:pt idx="4">
                  <c:v>1394</c:v>
                </c:pt>
                <c:pt idx="5">
                  <c:v>1395</c:v>
                </c:pt>
                <c:pt idx="6">
                  <c:v>1396</c:v>
                </c:pt>
                <c:pt idx="7">
                  <c:v>1397</c:v>
                </c:pt>
                <c:pt idx="8">
                  <c:v>1398</c:v>
                </c:pt>
                <c:pt idx="9">
                  <c:v>1399</c:v>
                </c:pt>
              </c:numCache>
            </c:numRef>
          </c:cat>
          <c:val>
            <c:numRef>
              <c:f>'اطلاعات بازار مسکن'!$B$5:$B$14</c:f>
              <c:numCache>
                <c:formatCode>#,##0</c:formatCode>
                <c:ptCount val="10"/>
                <c:pt idx="0">
                  <c:v>183385</c:v>
                </c:pt>
                <c:pt idx="1">
                  <c:v>206372</c:v>
                </c:pt>
                <c:pt idx="2">
                  <c:v>206395</c:v>
                </c:pt>
                <c:pt idx="3">
                  <c:v>120408</c:v>
                </c:pt>
                <c:pt idx="4">
                  <c:v>119895</c:v>
                </c:pt>
                <c:pt idx="5">
                  <c:v>118390</c:v>
                </c:pt>
                <c:pt idx="6">
                  <c:v>122081</c:v>
                </c:pt>
                <c:pt idx="7">
                  <c:v>142673</c:v>
                </c:pt>
                <c:pt idx="8">
                  <c:v>150558</c:v>
                </c:pt>
                <c:pt idx="9">
                  <c:v>174264</c:v>
                </c:pt>
              </c:numCache>
            </c:numRef>
          </c:val>
          <c:extLst>
            <c:ext xmlns:c16="http://schemas.microsoft.com/office/drawing/2014/chart" uri="{C3380CC4-5D6E-409C-BE32-E72D297353CC}">
              <c16:uniqueId val="{00000002-22FB-49DE-960C-7DD96FD3843D}"/>
            </c:ext>
          </c:extLst>
        </c:ser>
        <c:dLbls>
          <c:showLegendKey val="0"/>
          <c:showVal val="0"/>
          <c:showCatName val="0"/>
          <c:showSerName val="0"/>
          <c:showPercent val="0"/>
          <c:showBubbleSize val="0"/>
        </c:dLbls>
        <c:gapWidth val="219"/>
        <c:overlap val="-27"/>
        <c:axId val="1606028304"/>
        <c:axId val="1626239008"/>
      </c:barChart>
      <c:catAx>
        <c:axId val="16060283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626239008"/>
        <c:crosses val="autoZero"/>
        <c:auto val="1"/>
        <c:lblAlgn val="ctr"/>
        <c:lblOffset val="100"/>
        <c:noMultiLvlLbl val="0"/>
      </c:catAx>
      <c:valAx>
        <c:axId val="1626239008"/>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60602830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IRANSansXFaNum DemiBold" pitchFamily="2" charset="-78"/>
          <a:cs typeface="IRANSansXFaNum DemiBold" pitchFamily="2" charset="-78"/>
        </a:defRPr>
      </a:pPr>
      <a:endParaRPr lang="fa-I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r>
              <a:rPr lang="fa-IR"/>
              <a:t>نرخ اجاره یک متر مربع در تهران (تومان) </a:t>
            </a:r>
          </a:p>
        </c:rich>
      </c:tx>
      <c:layout>
        <c:manualLayout>
          <c:xMode val="edge"/>
          <c:yMode val="edge"/>
          <c:x val="0.58353211559215001"/>
          <c:y val="1.45942790426152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endParaRPr lang="fa-IR"/>
        </a:p>
      </c:txPr>
    </c:title>
    <c:autoTitleDeleted val="0"/>
    <c:plotArea>
      <c:layout/>
      <c:barChart>
        <c:barDir val="col"/>
        <c:grouping val="clustered"/>
        <c:varyColors val="0"/>
        <c:ser>
          <c:idx val="0"/>
          <c:order val="0"/>
          <c:tx>
            <c:strRef>
              <c:f>'اطلاعات بازار مسکن'!$G$2</c:f>
              <c:strCache>
                <c:ptCount val="1"/>
                <c:pt idx="0">
                  <c:v>اجاره یک متر مربع - تهران (تومان)</c:v>
                </c:pt>
              </c:strCache>
            </c:strRef>
          </c:tx>
          <c:spPr>
            <a:solidFill>
              <a:srgbClr val="002060"/>
            </a:solidFill>
            <a:ln w="9525">
              <a:solidFill>
                <a:srgbClr val="002060"/>
              </a:solidFill>
            </a:ln>
            <a:effectLst/>
          </c:spPr>
          <c:invertIfNegative val="0"/>
          <c:dPt>
            <c:idx val="11"/>
            <c:invertIfNegative val="0"/>
            <c:bubble3D val="0"/>
            <c:spPr>
              <a:solidFill>
                <a:srgbClr val="002060"/>
              </a:solidFill>
              <a:ln w="9525">
                <a:solidFill>
                  <a:srgbClr val="002060"/>
                </a:solidFill>
                <a:prstDash val="dash"/>
              </a:ln>
              <a:effectLst/>
            </c:spPr>
            <c:extLst>
              <c:ext xmlns:c16="http://schemas.microsoft.com/office/drawing/2014/chart" uri="{C3380CC4-5D6E-409C-BE32-E72D297353CC}">
                <c16:uniqueId val="{00000001-FD30-4F52-9F30-14BDD055C942}"/>
              </c:ext>
            </c:extLst>
          </c:dPt>
          <c:cat>
            <c:numRef>
              <c:f>'اطلاعات بازار مسکن'!$A$3:$A$14</c:f>
              <c:numCache>
                <c:formatCode>0</c:formatCode>
                <c:ptCount val="12"/>
                <c:pt idx="0">
                  <c:v>1388</c:v>
                </c:pt>
                <c:pt idx="1">
                  <c:v>1389</c:v>
                </c:pt>
                <c:pt idx="2">
                  <c:v>1390</c:v>
                </c:pt>
                <c:pt idx="3">
                  <c:v>1391</c:v>
                </c:pt>
                <c:pt idx="4">
                  <c:v>1392</c:v>
                </c:pt>
                <c:pt idx="5">
                  <c:v>1393</c:v>
                </c:pt>
                <c:pt idx="6">
                  <c:v>1394</c:v>
                </c:pt>
                <c:pt idx="7">
                  <c:v>1395</c:v>
                </c:pt>
                <c:pt idx="8">
                  <c:v>1396</c:v>
                </c:pt>
                <c:pt idx="9">
                  <c:v>1397</c:v>
                </c:pt>
                <c:pt idx="10">
                  <c:v>1398</c:v>
                </c:pt>
                <c:pt idx="11">
                  <c:v>1399</c:v>
                </c:pt>
              </c:numCache>
            </c:numRef>
          </c:cat>
          <c:val>
            <c:numRef>
              <c:f>'اطلاعات بازار مسکن'!$G$3:$G$14</c:f>
              <c:numCache>
                <c:formatCode>#,##0</c:formatCode>
                <c:ptCount val="12"/>
                <c:pt idx="0">
                  <c:v>8000</c:v>
                </c:pt>
                <c:pt idx="1">
                  <c:v>9700</c:v>
                </c:pt>
                <c:pt idx="2">
                  <c:v>11600</c:v>
                </c:pt>
                <c:pt idx="3">
                  <c:v>14000</c:v>
                </c:pt>
                <c:pt idx="4">
                  <c:v>16500</c:v>
                </c:pt>
                <c:pt idx="5">
                  <c:v>18000</c:v>
                </c:pt>
                <c:pt idx="6">
                  <c:v>20000</c:v>
                </c:pt>
                <c:pt idx="7">
                  <c:v>23000</c:v>
                </c:pt>
                <c:pt idx="8">
                  <c:v>26000</c:v>
                </c:pt>
                <c:pt idx="9">
                  <c:v>33000</c:v>
                </c:pt>
                <c:pt idx="10">
                  <c:v>45000</c:v>
                </c:pt>
                <c:pt idx="11">
                  <c:v>65000</c:v>
                </c:pt>
              </c:numCache>
            </c:numRef>
          </c:val>
          <c:extLst>
            <c:ext xmlns:c16="http://schemas.microsoft.com/office/drawing/2014/chart" uri="{C3380CC4-5D6E-409C-BE32-E72D297353CC}">
              <c16:uniqueId val="{00000002-FD30-4F52-9F30-14BDD055C942}"/>
            </c:ext>
          </c:extLst>
        </c:ser>
        <c:dLbls>
          <c:showLegendKey val="0"/>
          <c:showVal val="0"/>
          <c:showCatName val="0"/>
          <c:showSerName val="0"/>
          <c:showPercent val="0"/>
          <c:showBubbleSize val="0"/>
        </c:dLbls>
        <c:gapWidth val="219"/>
        <c:axId val="1606028304"/>
        <c:axId val="1626239008"/>
      </c:barChart>
      <c:catAx>
        <c:axId val="16060283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626239008"/>
        <c:crosses val="autoZero"/>
        <c:auto val="1"/>
        <c:lblAlgn val="ctr"/>
        <c:lblOffset val="100"/>
        <c:noMultiLvlLbl val="0"/>
      </c:catAx>
      <c:valAx>
        <c:axId val="1626239008"/>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60602830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IRANSansXFaNum DemiBold" pitchFamily="2" charset="-78"/>
          <a:cs typeface="IRANSansXFaNum DemiBold" pitchFamily="2" charset="-78"/>
        </a:defRPr>
      </a:pPr>
      <a:endParaRPr lang="fa-I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r>
              <a:rPr lang="fa-IR"/>
              <a:t>متوسط قیمت هر متر مربع ملک</a:t>
            </a:r>
            <a:r>
              <a:rPr lang="fa-IR" baseline="0"/>
              <a:t> مسکونی</a:t>
            </a:r>
            <a:r>
              <a:rPr lang="fa-IR"/>
              <a:t> در تهران (تومان) </a:t>
            </a:r>
          </a:p>
        </c:rich>
      </c:tx>
      <c:layout>
        <c:manualLayout>
          <c:xMode val="edge"/>
          <c:yMode val="edge"/>
          <c:x val="0.41600676818950932"/>
          <c:y val="1.45942790426152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endParaRPr lang="fa-IR"/>
        </a:p>
      </c:txPr>
    </c:title>
    <c:autoTitleDeleted val="0"/>
    <c:plotArea>
      <c:layout/>
      <c:barChart>
        <c:barDir val="col"/>
        <c:grouping val="clustered"/>
        <c:varyColors val="0"/>
        <c:ser>
          <c:idx val="0"/>
          <c:order val="0"/>
          <c:tx>
            <c:strRef>
              <c:f>'اطلاعات بازار مسکن'!$F$2</c:f>
              <c:strCache>
                <c:ptCount val="1"/>
                <c:pt idx="0">
                  <c:v>قیمت هر متر مربع - تهران (تومان)</c:v>
                </c:pt>
              </c:strCache>
            </c:strRef>
          </c:tx>
          <c:spPr>
            <a:solidFill>
              <a:srgbClr val="002060"/>
            </a:solidFill>
            <a:ln w="9525">
              <a:solidFill>
                <a:srgbClr val="002060"/>
              </a:solidFill>
            </a:ln>
            <a:effectLst/>
          </c:spPr>
          <c:invertIfNegative val="0"/>
          <c:dPt>
            <c:idx val="11"/>
            <c:invertIfNegative val="0"/>
            <c:bubble3D val="0"/>
            <c:spPr>
              <a:solidFill>
                <a:srgbClr val="002060"/>
              </a:solidFill>
              <a:ln w="9525">
                <a:solidFill>
                  <a:srgbClr val="002060"/>
                </a:solidFill>
                <a:prstDash val="dash"/>
              </a:ln>
              <a:effectLst/>
            </c:spPr>
            <c:extLst>
              <c:ext xmlns:c16="http://schemas.microsoft.com/office/drawing/2014/chart" uri="{C3380CC4-5D6E-409C-BE32-E72D297353CC}">
                <c16:uniqueId val="{00000001-B9CC-419D-8E63-7816B7535AF4}"/>
              </c:ext>
            </c:extLst>
          </c:dPt>
          <c:cat>
            <c:numRef>
              <c:f>'اطلاعات بازار مسکن'!$A$3:$A$14</c:f>
              <c:numCache>
                <c:formatCode>0</c:formatCode>
                <c:ptCount val="12"/>
                <c:pt idx="0">
                  <c:v>1388</c:v>
                </c:pt>
                <c:pt idx="1">
                  <c:v>1389</c:v>
                </c:pt>
                <c:pt idx="2">
                  <c:v>1390</c:v>
                </c:pt>
                <c:pt idx="3">
                  <c:v>1391</c:v>
                </c:pt>
                <c:pt idx="4">
                  <c:v>1392</c:v>
                </c:pt>
                <c:pt idx="5">
                  <c:v>1393</c:v>
                </c:pt>
                <c:pt idx="6">
                  <c:v>1394</c:v>
                </c:pt>
                <c:pt idx="7">
                  <c:v>1395</c:v>
                </c:pt>
                <c:pt idx="8">
                  <c:v>1396</c:v>
                </c:pt>
                <c:pt idx="9">
                  <c:v>1397</c:v>
                </c:pt>
                <c:pt idx="10">
                  <c:v>1398</c:v>
                </c:pt>
                <c:pt idx="11">
                  <c:v>1399</c:v>
                </c:pt>
              </c:numCache>
            </c:numRef>
          </c:cat>
          <c:val>
            <c:numRef>
              <c:f>'اطلاعات بازار مسکن'!$F$3:$F$14</c:f>
              <c:numCache>
                <c:formatCode>#,##0</c:formatCode>
                <c:ptCount val="12"/>
                <c:pt idx="0">
                  <c:v>1600000</c:v>
                </c:pt>
                <c:pt idx="1">
                  <c:v>1800000</c:v>
                </c:pt>
                <c:pt idx="2">
                  <c:v>1900000</c:v>
                </c:pt>
                <c:pt idx="3">
                  <c:v>2900000</c:v>
                </c:pt>
                <c:pt idx="4">
                  <c:v>3800000</c:v>
                </c:pt>
                <c:pt idx="5">
                  <c:v>3900000</c:v>
                </c:pt>
                <c:pt idx="6">
                  <c:v>4000000</c:v>
                </c:pt>
                <c:pt idx="7">
                  <c:v>4300000</c:v>
                </c:pt>
                <c:pt idx="8">
                  <c:v>5000000</c:v>
                </c:pt>
                <c:pt idx="9">
                  <c:v>8500000</c:v>
                </c:pt>
                <c:pt idx="10">
                  <c:v>14000000</c:v>
                </c:pt>
                <c:pt idx="11">
                  <c:v>26000000</c:v>
                </c:pt>
              </c:numCache>
            </c:numRef>
          </c:val>
          <c:extLst>
            <c:ext xmlns:c16="http://schemas.microsoft.com/office/drawing/2014/chart" uri="{C3380CC4-5D6E-409C-BE32-E72D297353CC}">
              <c16:uniqueId val="{00000002-B9CC-419D-8E63-7816B7535AF4}"/>
            </c:ext>
          </c:extLst>
        </c:ser>
        <c:dLbls>
          <c:showLegendKey val="0"/>
          <c:showVal val="0"/>
          <c:showCatName val="0"/>
          <c:showSerName val="0"/>
          <c:showPercent val="0"/>
          <c:showBubbleSize val="0"/>
        </c:dLbls>
        <c:gapWidth val="219"/>
        <c:axId val="1606028304"/>
        <c:axId val="1626239008"/>
      </c:barChart>
      <c:catAx>
        <c:axId val="16060283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626239008"/>
        <c:crosses val="autoZero"/>
        <c:auto val="1"/>
        <c:lblAlgn val="ctr"/>
        <c:lblOffset val="100"/>
        <c:noMultiLvlLbl val="0"/>
      </c:catAx>
      <c:valAx>
        <c:axId val="1626239008"/>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60602830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IRANSansXFaNum DemiBold" pitchFamily="2" charset="-78"/>
          <a:cs typeface="IRANSansXFaNum DemiBold" pitchFamily="2" charset="-78"/>
        </a:defRPr>
      </a:pPr>
      <a:endParaRPr lang="fa-I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r>
              <a:rPr lang="fa-IR"/>
              <a:t>نرخ رشد </a:t>
            </a:r>
            <a:r>
              <a:rPr lang="fa-IR">
                <a:solidFill>
                  <a:schemeClr val="accent4">
                    <a:lumMod val="50000"/>
                  </a:schemeClr>
                </a:solidFill>
              </a:rPr>
              <a:t>اجاره</a:t>
            </a:r>
            <a:r>
              <a:rPr lang="fa-IR"/>
              <a:t> و </a:t>
            </a:r>
            <a:r>
              <a:rPr lang="fa-IR">
                <a:solidFill>
                  <a:srgbClr val="002060"/>
                </a:solidFill>
              </a:rPr>
              <a:t>قیمت</a:t>
            </a:r>
            <a:r>
              <a:rPr lang="fa-IR"/>
              <a:t> ملک</a:t>
            </a:r>
            <a:r>
              <a:rPr lang="fa-IR" baseline="0"/>
              <a:t> مسکونی</a:t>
            </a:r>
            <a:r>
              <a:rPr lang="fa-IR"/>
              <a:t> در تهران (تومان) </a:t>
            </a:r>
          </a:p>
        </c:rich>
      </c:tx>
      <c:layout>
        <c:manualLayout>
          <c:xMode val="edge"/>
          <c:yMode val="edge"/>
          <c:x val="0.45830795262267343"/>
          <c:y val="1.459427904261529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endParaRPr lang="fa-IR"/>
        </a:p>
      </c:txPr>
    </c:title>
    <c:autoTitleDeleted val="0"/>
    <c:plotArea>
      <c:layout/>
      <c:barChart>
        <c:barDir val="col"/>
        <c:grouping val="clustered"/>
        <c:varyColors val="0"/>
        <c:ser>
          <c:idx val="0"/>
          <c:order val="0"/>
          <c:tx>
            <c:strRef>
              <c:f>'اطلاعات بازار مسکن'!$H$2</c:f>
              <c:strCache>
                <c:ptCount val="1"/>
                <c:pt idx="0">
                  <c:v>نرخ رشد قیمت</c:v>
                </c:pt>
              </c:strCache>
            </c:strRef>
          </c:tx>
          <c:spPr>
            <a:solidFill>
              <a:srgbClr val="002060"/>
            </a:solidFill>
            <a:ln w="9525">
              <a:solidFill>
                <a:srgbClr val="002060"/>
              </a:solidFill>
            </a:ln>
            <a:effectLst/>
          </c:spPr>
          <c:invertIfNegative val="0"/>
          <c:dPt>
            <c:idx val="11"/>
            <c:invertIfNegative val="0"/>
            <c:bubble3D val="0"/>
            <c:spPr>
              <a:solidFill>
                <a:srgbClr val="002060"/>
              </a:solidFill>
              <a:ln w="9525">
                <a:solidFill>
                  <a:srgbClr val="002060"/>
                </a:solidFill>
                <a:prstDash val="dash"/>
              </a:ln>
              <a:effectLst/>
            </c:spPr>
            <c:extLst>
              <c:ext xmlns:c16="http://schemas.microsoft.com/office/drawing/2014/chart" uri="{C3380CC4-5D6E-409C-BE32-E72D297353CC}">
                <c16:uniqueId val="{00000001-50AE-46F7-8E04-9335E781129E}"/>
              </c:ext>
            </c:extLst>
          </c:dPt>
          <c:cat>
            <c:numRef>
              <c:f>'اطلاعات بازار مسکن'!$A$4:$A$14</c:f>
              <c:numCache>
                <c:formatCode>0</c:formatCode>
                <c:ptCount val="11"/>
                <c:pt idx="0">
                  <c:v>1389</c:v>
                </c:pt>
                <c:pt idx="1">
                  <c:v>1390</c:v>
                </c:pt>
                <c:pt idx="2">
                  <c:v>1391</c:v>
                </c:pt>
                <c:pt idx="3">
                  <c:v>1392</c:v>
                </c:pt>
                <c:pt idx="4">
                  <c:v>1393</c:v>
                </c:pt>
                <c:pt idx="5">
                  <c:v>1394</c:v>
                </c:pt>
                <c:pt idx="6">
                  <c:v>1395</c:v>
                </c:pt>
                <c:pt idx="7">
                  <c:v>1396</c:v>
                </c:pt>
                <c:pt idx="8">
                  <c:v>1397</c:v>
                </c:pt>
                <c:pt idx="9">
                  <c:v>1398</c:v>
                </c:pt>
                <c:pt idx="10">
                  <c:v>1399</c:v>
                </c:pt>
              </c:numCache>
            </c:numRef>
          </c:cat>
          <c:val>
            <c:numRef>
              <c:f>'اطلاعات بازار مسکن'!$H$4:$H$14</c:f>
              <c:numCache>
                <c:formatCode>0%</c:formatCode>
                <c:ptCount val="11"/>
                <c:pt idx="0">
                  <c:v>0.125</c:v>
                </c:pt>
                <c:pt idx="1">
                  <c:v>5.555555555555558E-2</c:v>
                </c:pt>
                <c:pt idx="2">
                  <c:v>0.52631578947368429</c:v>
                </c:pt>
                <c:pt idx="3">
                  <c:v>0.31034482758620685</c:v>
                </c:pt>
                <c:pt idx="4">
                  <c:v>2.6315789473684292E-2</c:v>
                </c:pt>
                <c:pt idx="5">
                  <c:v>2.564102564102555E-2</c:v>
                </c:pt>
                <c:pt idx="6">
                  <c:v>7.4999999999999956E-2</c:v>
                </c:pt>
                <c:pt idx="7">
                  <c:v>0.16279069767441867</c:v>
                </c:pt>
                <c:pt idx="8">
                  <c:v>0.7</c:v>
                </c:pt>
                <c:pt idx="9">
                  <c:v>0.64705882352941169</c:v>
                </c:pt>
                <c:pt idx="10">
                  <c:v>0.85714285714285721</c:v>
                </c:pt>
              </c:numCache>
            </c:numRef>
          </c:val>
          <c:extLst>
            <c:ext xmlns:c16="http://schemas.microsoft.com/office/drawing/2014/chart" uri="{C3380CC4-5D6E-409C-BE32-E72D297353CC}">
              <c16:uniqueId val="{00000002-50AE-46F7-8E04-9335E781129E}"/>
            </c:ext>
          </c:extLst>
        </c:ser>
        <c:ser>
          <c:idx val="1"/>
          <c:order val="1"/>
          <c:tx>
            <c:strRef>
              <c:f>'اطلاعات بازار مسکن'!$I$2</c:f>
              <c:strCache>
                <c:ptCount val="1"/>
                <c:pt idx="0">
                  <c:v>نرخ رشد اجاره</c:v>
                </c:pt>
              </c:strCache>
            </c:strRef>
          </c:tx>
          <c:spPr>
            <a:solidFill>
              <a:schemeClr val="accent4">
                <a:lumMod val="50000"/>
              </a:schemeClr>
            </a:solidFill>
            <a:ln>
              <a:solidFill>
                <a:schemeClr val="accent4">
                  <a:lumMod val="50000"/>
                </a:schemeClr>
              </a:solidFill>
            </a:ln>
            <a:effectLst/>
          </c:spPr>
          <c:invertIfNegative val="0"/>
          <c:cat>
            <c:numRef>
              <c:f>'اطلاعات بازار مسکن'!$A$4:$A$14</c:f>
              <c:numCache>
                <c:formatCode>0</c:formatCode>
                <c:ptCount val="11"/>
                <c:pt idx="0">
                  <c:v>1389</c:v>
                </c:pt>
                <c:pt idx="1">
                  <c:v>1390</c:v>
                </c:pt>
                <c:pt idx="2">
                  <c:v>1391</c:v>
                </c:pt>
                <c:pt idx="3">
                  <c:v>1392</c:v>
                </c:pt>
                <c:pt idx="4">
                  <c:v>1393</c:v>
                </c:pt>
                <c:pt idx="5">
                  <c:v>1394</c:v>
                </c:pt>
                <c:pt idx="6">
                  <c:v>1395</c:v>
                </c:pt>
                <c:pt idx="7">
                  <c:v>1396</c:v>
                </c:pt>
                <c:pt idx="8">
                  <c:v>1397</c:v>
                </c:pt>
                <c:pt idx="9">
                  <c:v>1398</c:v>
                </c:pt>
                <c:pt idx="10">
                  <c:v>1399</c:v>
                </c:pt>
              </c:numCache>
            </c:numRef>
          </c:cat>
          <c:val>
            <c:numRef>
              <c:f>'اطلاعات بازار مسکن'!$I$4:$I$14</c:f>
              <c:numCache>
                <c:formatCode>0%</c:formatCode>
                <c:ptCount val="11"/>
                <c:pt idx="0">
                  <c:v>0.21249999999999991</c:v>
                </c:pt>
                <c:pt idx="1">
                  <c:v>0.19587628865979378</c:v>
                </c:pt>
                <c:pt idx="2">
                  <c:v>0.2068965517241379</c:v>
                </c:pt>
                <c:pt idx="3">
                  <c:v>0.1785714285714286</c:v>
                </c:pt>
                <c:pt idx="4">
                  <c:v>9.0909090909090828E-2</c:v>
                </c:pt>
                <c:pt idx="5">
                  <c:v>0.11111111111111116</c:v>
                </c:pt>
                <c:pt idx="6">
                  <c:v>0.14999999999999991</c:v>
                </c:pt>
                <c:pt idx="7">
                  <c:v>0.13043478260869557</c:v>
                </c:pt>
                <c:pt idx="8">
                  <c:v>0.26923076923076916</c:v>
                </c:pt>
                <c:pt idx="9">
                  <c:v>0.36363636363636354</c:v>
                </c:pt>
                <c:pt idx="10">
                  <c:v>0.44444444444444442</c:v>
                </c:pt>
              </c:numCache>
            </c:numRef>
          </c:val>
          <c:extLst>
            <c:ext xmlns:c16="http://schemas.microsoft.com/office/drawing/2014/chart" uri="{C3380CC4-5D6E-409C-BE32-E72D297353CC}">
              <c16:uniqueId val="{00000003-50AE-46F7-8E04-9335E781129E}"/>
            </c:ext>
          </c:extLst>
        </c:ser>
        <c:dLbls>
          <c:showLegendKey val="0"/>
          <c:showVal val="0"/>
          <c:showCatName val="0"/>
          <c:showSerName val="0"/>
          <c:showPercent val="0"/>
          <c:showBubbleSize val="0"/>
        </c:dLbls>
        <c:gapWidth val="219"/>
        <c:axId val="1606028304"/>
        <c:axId val="1626239008"/>
      </c:barChart>
      <c:catAx>
        <c:axId val="1606028304"/>
        <c:scaling>
          <c:orientation val="minMax"/>
        </c:scaling>
        <c:delete val="0"/>
        <c:axPos val="b"/>
        <c:numFmt formatCode="0"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626239008"/>
        <c:crosses val="autoZero"/>
        <c:auto val="1"/>
        <c:lblAlgn val="ctr"/>
        <c:lblOffset val="100"/>
        <c:noMultiLvlLbl val="0"/>
      </c:catAx>
      <c:valAx>
        <c:axId val="1626239008"/>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60602830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IRANSansXFaNum DemiBold" pitchFamily="2" charset="-78"/>
          <a:cs typeface="IRANSansXFaNum DemiBold" pitchFamily="2" charset="-78"/>
        </a:defRPr>
      </a:pPr>
      <a:endParaRPr lang="fa-I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r>
              <a:rPr lang="fa-IR"/>
              <a:t>صنعت سیمان کشور (میلیون تن)</a:t>
            </a:r>
            <a:endParaRPr lang="en-US"/>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IRANSansXFaNum DemiBold" pitchFamily="2" charset="-78"/>
              <a:ea typeface="+mn-ea"/>
              <a:cs typeface="IRANSansXFaNum DemiBold" pitchFamily="2" charset="-78"/>
            </a:defRPr>
          </a:pPr>
          <a:endParaRPr lang="fa-IR"/>
        </a:p>
      </c:txPr>
    </c:title>
    <c:autoTitleDeleted val="0"/>
    <c:plotArea>
      <c:layout/>
      <c:barChart>
        <c:barDir val="col"/>
        <c:grouping val="clustered"/>
        <c:varyColors val="0"/>
        <c:ser>
          <c:idx val="1"/>
          <c:order val="0"/>
          <c:tx>
            <c:strRef>
              <c:f>'گزارش صنعت'!$A$2</c:f>
              <c:strCache>
                <c:ptCount val="1"/>
                <c:pt idx="0">
                  <c:v>ظرفیت تولید (میلیون تن)</c:v>
                </c:pt>
              </c:strCache>
            </c:strRef>
          </c:tx>
          <c:spPr>
            <a:solidFill>
              <a:srgbClr val="002060"/>
            </a:solidFill>
            <a:ln>
              <a:solidFill>
                <a:srgbClr val="002060"/>
              </a:solidFill>
            </a:ln>
            <a:effectLst/>
          </c:spPr>
          <c:invertIfNegative val="0"/>
          <c:cat>
            <c:numRef>
              <c:f>'گزارش صنعت'!$B$1:$K$1</c:f>
              <c:numCache>
                <c:formatCode>General</c:formatCode>
                <c:ptCount val="10"/>
                <c:pt idx="0">
                  <c:v>1390</c:v>
                </c:pt>
                <c:pt idx="1">
                  <c:v>1391</c:v>
                </c:pt>
                <c:pt idx="2">
                  <c:v>1392</c:v>
                </c:pt>
                <c:pt idx="3">
                  <c:v>1393</c:v>
                </c:pt>
                <c:pt idx="4">
                  <c:v>1394</c:v>
                </c:pt>
                <c:pt idx="5">
                  <c:v>1395</c:v>
                </c:pt>
                <c:pt idx="6">
                  <c:v>1396</c:v>
                </c:pt>
                <c:pt idx="7">
                  <c:v>1397</c:v>
                </c:pt>
                <c:pt idx="8">
                  <c:v>1398</c:v>
                </c:pt>
                <c:pt idx="9">
                  <c:v>1399</c:v>
                </c:pt>
              </c:numCache>
            </c:numRef>
          </c:cat>
          <c:val>
            <c:numRef>
              <c:f>'گزارش صنعت'!$B$2:$K$2</c:f>
              <c:numCache>
                <c:formatCode>#,##0</c:formatCode>
                <c:ptCount val="10"/>
                <c:pt idx="0">
                  <c:v>73.599999999999994</c:v>
                </c:pt>
                <c:pt idx="1">
                  <c:v>74.599999999999994</c:v>
                </c:pt>
                <c:pt idx="2">
                  <c:v>75.7</c:v>
                </c:pt>
                <c:pt idx="3">
                  <c:v>78.599999999999994</c:v>
                </c:pt>
                <c:pt idx="4">
                  <c:v>78.599999999999994</c:v>
                </c:pt>
                <c:pt idx="5">
                  <c:v>79</c:v>
                </c:pt>
                <c:pt idx="6">
                  <c:v>85.1</c:v>
                </c:pt>
                <c:pt idx="7">
                  <c:v>87.7</c:v>
                </c:pt>
                <c:pt idx="8">
                  <c:v>88.3</c:v>
                </c:pt>
                <c:pt idx="9">
                  <c:v>88.6</c:v>
                </c:pt>
              </c:numCache>
            </c:numRef>
          </c:val>
          <c:extLst>
            <c:ext xmlns:c16="http://schemas.microsoft.com/office/drawing/2014/chart" uri="{C3380CC4-5D6E-409C-BE32-E72D297353CC}">
              <c16:uniqueId val="{00000001-5C06-46A2-81DE-BB0D5B37CA11}"/>
            </c:ext>
          </c:extLst>
        </c:ser>
        <c:ser>
          <c:idx val="2"/>
          <c:order val="1"/>
          <c:tx>
            <c:strRef>
              <c:f>'گزارش صنعت'!$A$3</c:f>
              <c:strCache>
                <c:ptCount val="1"/>
                <c:pt idx="0">
                  <c:v>تولید (میلیون تن)</c:v>
                </c:pt>
              </c:strCache>
            </c:strRef>
          </c:tx>
          <c:spPr>
            <a:solidFill>
              <a:schemeClr val="accent4">
                <a:lumMod val="50000"/>
              </a:schemeClr>
            </a:solidFill>
            <a:ln>
              <a:solidFill>
                <a:schemeClr val="accent4">
                  <a:lumMod val="50000"/>
                </a:schemeClr>
              </a:solidFill>
            </a:ln>
            <a:effectLst/>
          </c:spPr>
          <c:invertIfNegative val="0"/>
          <c:val>
            <c:numRef>
              <c:f>'گزارش صنعت'!$B$3:$K$3</c:f>
              <c:numCache>
                <c:formatCode>#,##0</c:formatCode>
                <c:ptCount val="10"/>
                <c:pt idx="0">
                  <c:v>66.5</c:v>
                </c:pt>
                <c:pt idx="1">
                  <c:v>70.2</c:v>
                </c:pt>
                <c:pt idx="2">
                  <c:v>69.7</c:v>
                </c:pt>
                <c:pt idx="3">
                  <c:v>66.5</c:v>
                </c:pt>
                <c:pt idx="4">
                  <c:v>58.7</c:v>
                </c:pt>
                <c:pt idx="5">
                  <c:v>55.2</c:v>
                </c:pt>
                <c:pt idx="6">
                  <c:v>54.5</c:v>
                </c:pt>
                <c:pt idx="7">
                  <c:v>55.2</c:v>
                </c:pt>
                <c:pt idx="8">
                  <c:v>60.4</c:v>
                </c:pt>
                <c:pt idx="9">
                  <c:v>68.3</c:v>
                </c:pt>
              </c:numCache>
            </c:numRef>
          </c:val>
          <c:extLst>
            <c:ext xmlns:c16="http://schemas.microsoft.com/office/drawing/2014/chart" uri="{C3380CC4-5D6E-409C-BE32-E72D297353CC}">
              <c16:uniqueId val="{00000002-5C06-46A2-81DE-BB0D5B37CA11}"/>
            </c:ext>
          </c:extLst>
        </c:ser>
        <c:dLbls>
          <c:showLegendKey val="0"/>
          <c:showVal val="0"/>
          <c:showCatName val="0"/>
          <c:showSerName val="0"/>
          <c:showPercent val="0"/>
          <c:showBubbleSize val="0"/>
        </c:dLbls>
        <c:gapWidth val="219"/>
        <c:axId val="1241480848"/>
        <c:axId val="1545659472"/>
      </c:barChart>
      <c:lineChart>
        <c:grouping val="standard"/>
        <c:varyColors val="0"/>
        <c:ser>
          <c:idx val="3"/>
          <c:order val="2"/>
          <c:tx>
            <c:strRef>
              <c:f>'گزارش صنعت'!$A$7</c:f>
              <c:strCache>
                <c:ptCount val="1"/>
                <c:pt idx="0">
                  <c:v>نسبت تولید به ظرفیت</c:v>
                </c:pt>
              </c:strCache>
            </c:strRef>
          </c:tx>
          <c:spPr>
            <a:ln w="28575" cap="rnd">
              <a:solidFill>
                <a:srgbClr val="00B0F0"/>
              </a:solidFill>
              <a:round/>
            </a:ln>
            <a:effectLst/>
          </c:spPr>
          <c:marker>
            <c:symbol val="none"/>
          </c:marker>
          <c:val>
            <c:numRef>
              <c:f>'گزارش صنعت'!$B$7:$K$7</c:f>
              <c:numCache>
                <c:formatCode>0%</c:formatCode>
                <c:ptCount val="10"/>
                <c:pt idx="0">
                  <c:v>0.90353260869565222</c:v>
                </c:pt>
                <c:pt idx="1">
                  <c:v>0.94101876675603224</c:v>
                </c:pt>
                <c:pt idx="2">
                  <c:v>0.92073976221928666</c:v>
                </c:pt>
                <c:pt idx="3">
                  <c:v>0.846055979643766</c:v>
                </c:pt>
                <c:pt idx="4">
                  <c:v>0.7468193384223919</c:v>
                </c:pt>
                <c:pt idx="5">
                  <c:v>0.69873417721518993</c:v>
                </c:pt>
                <c:pt idx="6">
                  <c:v>0.64042303172737958</c:v>
                </c:pt>
                <c:pt idx="7">
                  <c:v>0.62941847206385404</c:v>
                </c:pt>
                <c:pt idx="8">
                  <c:v>0.68403171007927521</c:v>
                </c:pt>
                <c:pt idx="9">
                  <c:v>0.77088036117381487</c:v>
                </c:pt>
              </c:numCache>
            </c:numRef>
          </c:val>
          <c:smooth val="1"/>
          <c:extLst>
            <c:ext xmlns:c16="http://schemas.microsoft.com/office/drawing/2014/chart" uri="{C3380CC4-5D6E-409C-BE32-E72D297353CC}">
              <c16:uniqueId val="{00000003-5C06-46A2-81DE-BB0D5B37CA11}"/>
            </c:ext>
          </c:extLst>
        </c:ser>
        <c:dLbls>
          <c:showLegendKey val="0"/>
          <c:showVal val="0"/>
          <c:showCatName val="0"/>
          <c:showSerName val="0"/>
          <c:showPercent val="0"/>
          <c:showBubbleSize val="0"/>
        </c:dLbls>
        <c:marker val="1"/>
        <c:smooth val="0"/>
        <c:axId val="1542510736"/>
        <c:axId val="1365182272"/>
      </c:lineChart>
      <c:catAx>
        <c:axId val="12414808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545659472"/>
        <c:crosses val="autoZero"/>
        <c:auto val="1"/>
        <c:lblAlgn val="ctr"/>
        <c:lblOffset val="100"/>
        <c:noMultiLvlLbl val="0"/>
      </c:catAx>
      <c:valAx>
        <c:axId val="1545659472"/>
        <c:scaling>
          <c:orientation val="minMax"/>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241480848"/>
        <c:crosses val="autoZero"/>
        <c:crossBetween val="between"/>
      </c:valAx>
      <c:valAx>
        <c:axId val="1365182272"/>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solidFill>
                <a:latin typeface="IRANSansXFaNum DemiBold" pitchFamily="2" charset="-78"/>
                <a:ea typeface="+mn-ea"/>
                <a:cs typeface="IRANSansXFaNum DemiBold" pitchFamily="2" charset="-78"/>
              </a:defRPr>
            </a:pPr>
            <a:endParaRPr lang="fa-IR"/>
          </a:p>
        </c:txPr>
        <c:crossAx val="1542510736"/>
        <c:crosses val="max"/>
        <c:crossBetween val="between"/>
      </c:valAx>
      <c:catAx>
        <c:axId val="1542510736"/>
        <c:scaling>
          <c:orientation val="minMax"/>
        </c:scaling>
        <c:delete val="1"/>
        <c:axPos val="b"/>
        <c:majorTickMark val="out"/>
        <c:minorTickMark val="none"/>
        <c:tickLblPos val="nextTo"/>
        <c:crossAx val="136518227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IRANSansXFaNum DemiBold" pitchFamily="2" charset="-78"/>
              <a:ea typeface="+mn-ea"/>
              <a:cs typeface="IRANSansXFaNum DemiBold" pitchFamily="2" charset="-78"/>
            </a:defRPr>
          </a:pPr>
          <a:endParaRPr lang="fa-IR"/>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solidFill>
            <a:schemeClr val="tx1"/>
          </a:solidFill>
          <a:latin typeface="IRANSansXFaNum DemiBold" pitchFamily="2" charset="-78"/>
          <a:cs typeface="IRANSansXFaNum DemiBold" pitchFamily="2" charset="-78"/>
        </a:defRPr>
      </a:pPr>
      <a:endParaRPr lang="fa-I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8" Type="http://schemas.openxmlformats.org/officeDocument/2006/relationships/chart" Target="../charts/chart11.xml"/><Relationship Id="rId3" Type="http://schemas.openxmlformats.org/officeDocument/2006/relationships/chart" Target="../charts/chart10.xml"/><Relationship Id="rId7" Type="http://schemas.openxmlformats.org/officeDocument/2006/relationships/image" Target="../media/image15.png"/><Relationship Id="rId2" Type="http://schemas.openxmlformats.org/officeDocument/2006/relationships/chart" Target="../charts/chart9.xml"/><Relationship Id="rId1" Type="http://schemas.openxmlformats.org/officeDocument/2006/relationships/image" Target="../media/image11.png"/><Relationship Id="rId6" Type="http://schemas.openxmlformats.org/officeDocument/2006/relationships/image" Target="../media/image14.png"/><Relationship Id="rId5" Type="http://schemas.openxmlformats.org/officeDocument/2006/relationships/image" Target="../media/image13.png"/><Relationship Id="rId4" Type="http://schemas.openxmlformats.org/officeDocument/2006/relationships/image" Target="../media/image12.png"/><Relationship Id="rId9"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594359</xdr:colOff>
      <xdr:row>23</xdr:row>
      <xdr:rowOff>99433</xdr:rowOff>
    </xdr:to>
    <xdr:pic>
      <xdr:nvPicPr>
        <xdr:cNvPr id="2" name="Picture 1"/>
        <xdr:cNvPicPr>
          <a:picLocks noChangeAspect="1"/>
        </xdr:cNvPicPr>
      </xdr:nvPicPr>
      <xdr:blipFill>
        <a:blip xmlns:r="http://schemas.openxmlformats.org/officeDocument/2006/relationships" r:embed="rId1"/>
        <a:stretch>
          <a:fillRect/>
        </a:stretch>
      </xdr:blipFill>
      <xdr:spPr>
        <a:xfrm>
          <a:off x="9979167241" y="0"/>
          <a:ext cx="8557259" cy="4305673"/>
        </a:xfrm>
        <a:prstGeom prst="rect">
          <a:avLst/>
        </a:prstGeom>
      </xdr:spPr>
    </xdr:pic>
    <xdr:clientData/>
  </xdr:twoCellAnchor>
  <xdr:twoCellAnchor editAs="oneCell">
    <xdr:from>
      <xdr:col>0</xdr:col>
      <xdr:colOff>0</xdr:colOff>
      <xdr:row>23</xdr:row>
      <xdr:rowOff>144780</xdr:rowOff>
    </xdr:from>
    <xdr:to>
      <xdr:col>13</xdr:col>
      <xdr:colOff>586740</xdr:colOff>
      <xdr:row>40</xdr:row>
      <xdr:rowOff>175532</xdr:rowOff>
    </xdr:to>
    <xdr:pic>
      <xdr:nvPicPr>
        <xdr:cNvPr id="3" name="Picture 2"/>
        <xdr:cNvPicPr>
          <a:picLocks noChangeAspect="1"/>
        </xdr:cNvPicPr>
      </xdr:nvPicPr>
      <xdr:blipFill>
        <a:blip xmlns:r="http://schemas.openxmlformats.org/officeDocument/2006/relationships" r:embed="rId2"/>
        <a:stretch>
          <a:fillRect/>
        </a:stretch>
      </xdr:blipFill>
      <xdr:spPr>
        <a:xfrm>
          <a:off x="9979174860" y="4351020"/>
          <a:ext cx="8549640" cy="3139712"/>
        </a:xfrm>
        <a:prstGeom prst="rect">
          <a:avLst/>
        </a:prstGeom>
      </xdr:spPr>
    </xdr:pic>
    <xdr:clientData/>
  </xdr:twoCellAnchor>
  <xdr:twoCellAnchor editAs="oneCell">
    <xdr:from>
      <xdr:col>0</xdr:col>
      <xdr:colOff>0</xdr:colOff>
      <xdr:row>39</xdr:row>
      <xdr:rowOff>167640</xdr:rowOff>
    </xdr:from>
    <xdr:to>
      <xdr:col>13</xdr:col>
      <xdr:colOff>525779</xdr:colOff>
      <xdr:row>52</xdr:row>
      <xdr:rowOff>167846</xdr:rowOff>
    </xdr:to>
    <xdr:pic>
      <xdr:nvPicPr>
        <xdr:cNvPr id="5" name="Picture 4"/>
        <xdr:cNvPicPr>
          <a:picLocks noChangeAspect="1"/>
        </xdr:cNvPicPr>
      </xdr:nvPicPr>
      <xdr:blipFill>
        <a:blip xmlns:r="http://schemas.openxmlformats.org/officeDocument/2006/relationships" r:embed="rId3"/>
        <a:stretch>
          <a:fillRect/>
        </a:stretch>
      </xdr:blipFill>
      <xdr:spPr>
        <a:xfrm>
          <a:off x="9979235821" y="7299960"/>
          <a:ext cx="8488679" cy="23776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9526</xdr:rowOff>
    </xdr:from>
    <xdr:to>
      <xdr:col>11</xdr:col>
      <xdr:colOff>466726</xdr:colOff>
      <xdr:row>27</xdr:row>
      <xdr:rowOff>170219</xdr:rowOff>
    </xdr:to>
    <xdr:pic>
      <xdr:nvPicPr>
        <xdr:cNvPr id="2" name="Picture 1">
          <a:extLst>
            <a:ext uri="{FF2B5EF4-FFF2-40B4-BE49-F238E27FC236}">
              <a16:creationId xmlns:a16="http://schemas.microsoft.com/office/drawing/2014/main" id="{529E7301-EEFC-4CC9-A165-3BAD4EEEE1A8}"/>
            </a:ext>
          </a:extLst>
        </xdr:cNvPr>
        <xdr:cNvPicPr>
          <a:picLocks noChangeAspect="1"/>
        </xdr:cNvPicPr>
      </xdr:nvPicPr>
      <xdr:blipFill>
        <a:blip xmlns:r="http://schemas.openxmlformats.org/officeDocument/2006/relationships" r:embed="rId1"/>
        <a:stretch>
          <a:fillRect/>
        </a:stretch>
      </xdr:blipFill>
      <xdr:spPr>
        <a:xfrm>
          <a:off x="9980514074" y="9526"/>
          <a:ext cx="11515725" cy="6075718"/>
        </a:xfrm>
        <a:prstGeom prst="rect">
          <a:avLst/>
        </a:prstGeom>
      </xdr:spPr>
    </xdr:pic>
    <xdr:clientData/>
  </xdr:twoCellAnchor>
  <xdr:twoCellAnchor editAs="oneCell">
    <xdr:from>
      <xdr:col>0</xdr:col>
      <xdr:colOff>1</xdr:colOff>
      <xdr:row>28</xdr:row>
      <xdr:rowOff>19052</xdr:rowOff>
    </xdr:from>
    <xdr:to>
      <xdr:col>2</xdr:col>
      <xdr:colOff>270728</xdr:colOff>
      <xdr:row>41</xdr:row>
      <xdr:rowOff>1</xdr:rowOff>
    </xdr:to>
    <xdr:pic>
      <xdr:nvPicPr>
        <xdr:cNvPr id="3" name="Picture 2">
          <a:extLst>
            <a:ext uri="{FF2B5EF4-FFF2-40B4-BE49-F238E27FC236}">
              <a16:creationId xmlns:a16="http://schemas.microsoft.com/office/drawing/2014/main" id="{0142322F-966B-43F6-BA72-8546CFA05CFA}"/>
            </a:ext>
          </a:extLst>
        </xdr:cNvPr>
        <xdr:cNvPicPr>
          <a:picLocks noChangeAspect="1"/>
        </xdr:cNvPicPr>
      </xdr:nvPicPr>
      <xdr:blipFill>
        <a:blip xmlns:r="http://schemas.openxmlformats.org/officeDocument/2006/relationships" r:embed="rId2"/>
        <a:stretch>
          <a:fillRect/>
        </a:stretch>
      </xdr:blipFill>
      <xdr:spPr>
        <a:xfrm>
          <a:off x="9986196472" y="6153152"/>
          <a:ext cx="5833327" cy="2828924"/>
        </a:xfrm>
        <a:prstGeom prst="rect">
          <a:avLst/>
        </a:prstGeom>
      </xdr:spPr>
    </xdr:pic>
    <xdr:clientData/>
  </xdr:twoCellAnchor>
  <xdr:twoCellAnchor editAs="oneCell">
    <xdr:from>
      <xdr:col>2</xdr:col>
      <xdr:colOff>381001</xdr:colOff>
      <xdr:row>41</xdr:row>
      <xdr:rowOff>47625</xdr:rowOff>
    </xdr:from>
    <xdr:to>
      <xdr:col>11</xdr:col>
      <xdr:colOff>474236</xdr:colOff>
      <xdr:row>51</xdr:row>
      <xdr:rowOff>9525</xdr:rowOff>
    </xdr:to>
    <xdr:pic>
      <xdr:nvPicPr>
        <xdr:cNvPr id="5" name="Picture 4">
          <a:extLst>
            <a:ext uri="{FF2B5EF4-FFF2-40B4-BE49-F238E27FC236}">
              <a16:creationId xmlns:a16="http://schemas.microsoft.com/office/drawing/2014/main" id="{63453CC6-6358-42B3-B9AF-530602778B48}"/>
            </a:ext>
          </a:extLst>
        </xdr:cNvPr>
        <xdr:cNvPicPr>
          <a:picLocks noChangeAspect="1"/>
        </xdr:cNvPicPr>
      </xdr:nvPicPr>
      <xdr:blipFill>
        <a:blip xmlns:r="http://schemas.openxmlformats.org/officeDocument/2006/relationships" r:embed="rId3"/>
        <a:stretch>
          <a:fillRect/>
        </a:stretch>
      </xdr:blipFill>
      <xdr:spPr>
        <a:xfrm>
          <a:off x="9980506564" y="9029700"/>
          <a:ext cx="5579635" cy="2371725"/>
        </a:xfrm>
        <a:prstGeom prst="rect">
          <a:avLst/>
        </a:prstGeom>
      </xdr:spPr>
    </xdr:pic>
    <xdr:clientData/>
  </xdr:twoCellAnchor>
  <xdr:twoCellAnchor editAs="oneCell">
    <xdr:from>
      <xdr:col>2</xdr:col>
      <xdr:colOff>419101</xdr:colOff>
      <xdr:row>52</xdr:row>
      <xdr:rowOff>95250</xdr:rowOff>
    </xdr:from>
    <xdr:to>
      <xdr:col>11</xdr:col>
      <xdr:colOff>438190</xdr:colOff>
      <xdr:row>63</xdr:row>
      <xdr:rowOff>171450</xdr:rowOff>
    </xdr:to>
    <xdr:pic>
      <xdr:nvPicPr>
        <xdr:cNvPr id="6" name="Picture 5">
          <a:extLst>
            <a:ext uri="{FF2B5EF4-FFF2-40B4-BE49-F238E27FC236}">
              <a16:creationId xmlns:a16="http://schemas.microsoft.com/office/drawing/2014/main" id="{83E2EC7C-996B-480A-BC06-617D504EB1A7}"/>
            </a:ext>
          </a:extLst>
        </xdr:cNvPr>
        <xdr:cNvPicPr>
          <a:picLocks noChangeAspect="1"/>
        </xdr:cNvPicPr>
      </xdr:nvPicPr>
      <xdr:blipFill>
        <a:blip xmlns:r="http://schemas.openxmlformats.org/officeDocument/2006/relationships" r:embed="rId4"/>
        <a:stretch>
          <a:fillRect/>
        </a:stretch>
      </xdr:blipFill>
      <xdr:spPr>
        <a:xfrm>
          <a:off x="9980542610" y="11487150"/>
          <a:ext cx="5505489" cy="2486025"/>
        </a:xfrm>
        <a:prstGeom prst="rect">
          <a:avLst/>
        </a:prstGeom>
      </xdr:spPr>
    </xdr:pic>
    <xdr:clientData/>
  </xdr:twoCellAnchor>
  <xdr:twoCellAnchor editAs="oneCell">
    <xdr:from>
      <xdr:col>2</xdr:col>
      <xdr:colOff>381000</xdr:colOff>
      <xdr:row>63</xdr:row>
      <xdr:rowOff>152401</xdr:rowOff>
    </xdr:from>
    <xdr:to>
      <xdr:col>11</xdr:col>
      <xdr:colOff>400050</xdr:colOff>
      <xdr:row>76</xdr:row>
      <xdr:rowOff>140110</xdr:rowOff>
    </xdr:to>
    <xdr:pic>
      <xdr:nvPicPr>
        <xdr:cNvPr id="8" name="Picture 7">
          <a:extLst>
            <a:ext uri="{FF2B5EF4-FFF2-40B4-BE49-F238E27FC236}">
              <a16:creationId xmlns:a16="http://schemas.microsoft.com/office/drawing/2014/main" id="{BFFEB4B9-60BE-40C4-A2FA-4492B27386AD}"/>
            </a:ext>
          </a:extLst>
        </xdr:cNvPr>
        <xdr:cNvPicPr>
          <a:picLocks noChangeAspect="1"/>
        </xdr:cNvPicPr>
      </xdr:nvPicPr>
      <xdr:blipFill>
        <a:blip xmlns:r="http://schemas.openxmlformats.org/officeDocument/2006/relationships" r:embed="rId5"/>
        <a:stretch>
          <a:fillRect/>
        </a:stretch>
      </xdr:blipFill>
      <xdr:spPr>
        <a:xfrm>
          <a:off x="9980580750" y="13954126"/>
          <a:ext cx="5505450" cy="2835684"/>
        </a:xfrm>
        <a:prstGeom prst="rect">
          <a:avLst/>
        </a:prstGeom>
      </xdr:spPr>
    </xdr:pic>
    <xdr:clientData/>
  </xdr:twoCellAnchor>
  <xdr:twoCellAnchor editAs="oneCell">
    <xdr:from>
      <xdr:col>2</xdr:col>
      <xdr:colOff>466725</xdr:colOff>
      <xdr:row>27</xdr:row>
      <xdr:rowOff>200025</xdr:rowOff>
    </xdr:from>
    <xdr:to>
      <xdr:col>11</xdr:col>
      <xdr:colOff>503524</xdr:colOff>
      <xdr:row>40</xdr:row>
      <xdr:rowOff>161655</xdr:rowOff>
    </xdr:to>
    <xdr:pic>
      <xdr:nvPicPr>
        <xdr:cNvPr id="7" name="Picture 6">
          <a:extLst>
            <a:ext uri="{FF2B5EF4-FFF2-40B4-BE49-F238E27FC236}">
              <a16:creationId xmlns:a16="http://schemas.microsoft.com/office/drawing/2014/main" id="{A56377A1-6D17-410B-B4F4-1CB5DF7AB90F}"/>
            </a:ext>
          </a:extLst>
        </xdr:cNvPr>
        <xdr:cNvPicPr>
          <a:picLocks noChangeAspect="1"/>
        </xdr:cNvPicPr>
      </xdr:nvPicPr>
      <xdr:blipFill>
        <a:blip xmlns:r="http://schemas.openxmlformats.org/officeDocument/2006/relationships" r:embed="rId6"/>
        <a:stretch>
          <a:fillRect/>
        </a:stretch>
      </xdr:blipFill>
      <xdr:spPr>
        <a:xfrm>
          <a:off x="9980477276" y="6115050"/>
          <a:ext cx="5523199" cy="2809605"/>
        </a:xfrm>
        <a:prstGeom prst="rect">
          <a:avLst/>
        </a:prstGeom>
      </xdr:spPr>
    </xdr:pic>
    <xdr:clientData/>
  </xdr:twoCellAnchor>
  <xdr:twoCellAnchor editAs="oneCell">
    <xdr:from>
      <xdr:col>11</xdr:col>
      <xdr:colOff>411480</xdr:colOff>
      <xdr:row>4</xdr:row>
      <xdr:rowOff>45720</xdr:rowOff>
    </xdr:from>
    <xdr:to>
      <xdr:col>15</xdr:col>
      <xdr:colOff>99250</xdr:colOff>
      <xdr:row>6</xdr:row>
      <xdr:rowOff>137205</xdr:rowOff>
    </xdr:to>
    <xdr:pic>
      <xdr:nvPicPr>
        <xdr:cNvPr id="4" name="Picture 3"/>
        <xdr:cNvPicPr>
          <a:picLocks noChangeAspect="1"/>
        </xdr:cNvPicPr>
      </xdr:nvPicPr>
      <xdr:blipFill>
        <a:blip xmlns:r="http://schemas.openxmlformats.org/officeDocument/2006/relationships" r:embed="rId7"/>
        <a:stretch>
          <a:fillRect/>
        </a:stretch>
      </xdr:blipFill>
      <xdr:spPr>
        <a:xfrm>
          <a:off x="10227906710" y="899160"/>
          <a:ext cx="2187130" cy="51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9</xdr:col>
      <xdr:colOff>590550</xdr:colOff>
      <xdr:row>1</xdr:row>
      <xdr:rowOff>19050</xdr:rowOff>
    </xdr:from>
    <xdr:to>
      <xdr:col>17</xdr:col>
      <xdr:colOff>285750</xdr:colOff>
      <xdr:row>15</xdr:row>
      <xdr:rowOff>95250</xdr:rowOff>
    </xdr:to>
    <xdr:graphicFrame macro="">
      <xdr:nvGraphicFramePr>
        <xdr:cNvPr id="2" name="Chart 1">
          <a:extLst>
            <a:ext uri="{FF2B5EF4-FFF2-40B4-BE49-F238E27FC236}">
              <a16:creationId xmlns:a16="http://schemas.microsoft.com/office/drawing/2014/main" id="{0F5C8F2E-C9D6-4EB3-B813-5DEFFAF50D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1</xdr:row>
      <xdr:rowOff>4763</xdr:rowOff>
    </xdr:from>
    <xdr:to>
      <xdr:col>8</xdr:col>
      <xdr:colOff>581025</xdr:colOff>
      <xdr:row>15</xdr:row>
      <xdr:rowOff>80963</xdr:rowOff>
    </xdr:to>
    <xdr:graphicFrame macro="">
      <xdr:nvGraphicFramePr>
        <xdr:cNvPr id="3" name="Chart 2">
          <a:extLst>
            <a:ext uri="{FF2B5EF4-FFF2-40B4-BE49-F238E27FC236}">
              <a16:creationId xmlns:a16="http://schemas.microsoft.com/office/drawing/2014/main" id="{E72E7395-C4D2-407B-AFE0-44602D7ECE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581025</xdr:colOff>
      <xdr:row>16</xdr:row>
      <xdr:rowOff>80962</xdr:rowOff>
    </xdr:from>
    <xdr:to>
      <xdr:col>17</xdr:col>
      <xdr:colOff>276225</xdr:colOff>
      <xdr:row>27</xdr:row>
      <xdr:rowOff>28575</xdr:rowOff>
    </xdr:to>
    <xdr:graphicFrame macro="">
      <xdr:nvGraphicFramePr>
        <xdr:cNvPr id="4" name="Chart 3">
          <a:extLst>
            <a:ext uri="{FF2B5EF4-FFF2-40B4-BE49-F238E27FC236}">
              <a16:creationId xmlns:a16="http://schemas.microsoft.com/office/drawing/2014/main" id="{7803DF4D-0845-48B8-A108-9D76C47E67B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548640</xdr:colOff>
      <xdr:row>28</xdr:row>
      <xdr:rowOff>49530</xdr:rowOff>
    </xdr:from>
    <xdr:to>
      <xdr:col>17</xdr:col>
      <xdr:colOff>224790</xdr:colOff>
      <xdr:row>41</xdr:row>
      <xdr:rowOff>118110</xdr:rowOff>
    </xdr:to>
    <xdr:graphicFrame macro="">
      <xdr:nvGraphicFramePr>
        <xdr:cNvPr id="5" name="Chart 4">
          <a:extLst>
            <a:ext uri="{FF2B5EF4-FFF2-40B4-BE49-F238E27FC236}">
              <a16:creationId xmlns:a16="http://schemas.microsoft.com/office/drawing/2014/main" id="{D6BF0177-160F-4140-AE8F-F9E300858A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251460</xdr:colOff>
      <xdr:row>1</xdr:row>
      <xdr:rowOff>22860</xdr:rowOff>
    </xdr:from>
    <xdr:to>
      <xdr:col>23</xdr:col>
      <xdr:colOff>274320</xdr:colOff>
      <xdr:row>13</xdr:row>
      <xdr:rowOff>91440</xdr:rowOff>
    </xdr:to>
    <xdr:graphicFrame macro="">
      <xdr:nvGraphicFramePr>
        <xdr:cNvPr id="2" name="Chart 1">
          <a:extLst>
            <a:ext uri="{FF2B5EF4-FFF2-40B4-BE49-F238E27FC236}">
              <a16:creationId xmlns:a16="http://schemas.microsoft.com/office/drawing/2014/main" id="{7803DF4D-0845-48B8-A108-9D76C47E6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121920</xdr:colOff>
      <xdr:row>14</xdr:row>
      <xdr:rowOff>0</xdr:rowOff>
    </xdr:from>
    <xdr:to>
      <xdr:col>23</xdr:col>
      <xdr:colOff>144780</xdr:colOff>
      <xdr:row>34</xdr:row>
      <xdr:rowOff>83820</xdr:rowOff>
    </xdr:to>
    <xdr:graphicFrame macro="">
      <xdr:nvGraphicFramePr>
        <xdr:cNvPr id="3" name="Chart 2">
          <a:extLst>
            <a:ext uri="{FF2B5EF4-FFF2-40B4-BE49-F238E27FC236}">
              <a16:creationId xmlns:a16="http://schemas.microsoft.com/office/drawing/2014/main" id="{7803DF4D-0845-48B8-A108-9D76C47E6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91440</xdr:colOff>
      <xdr:row>35</xdr:row>
      <xdr:rowOff>114300</xdr:rowOff>
    </xdr:from>
    <xdr:to>
      <xdr:col>23</xdr:col>
      <xdr:colOff>114300</xdr:colOff>
      <xdr:row>55</xdr:row>
      <xdr:rowOff>198120</xdr:rowOff>
    </xdr:to>
    <xdr:graphicFrame macro="">
      <xdr:nvGraphicFramePr>
        <xdr:cNvPr id="4" name="Chart 3">
          <a:extLst>
            <a:ext uri="{FF2B5EF4-FFF2-40B4-BE49-F238E27FC236}">
              <a16:creationId xmlns:a16="http://schemas.microsoft.com/office/drawing/2014/main" id="{7803DF4D-0845-48B8-A108-9D76C47E6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335280</xdr:colOff>
      <xdr:row>56</xdr:row>
      <xdr:rowOff>205740</xdr:rowOff>
    </xdr:from>
    <xdr:to>
      <xdr:col>22</xdr:col>
      <xdr:colOff>358140</xdr:colOff>
      <xdr:row>77</xdr:row>
      <xdr:rowOff>76200</xdr:rowOff>
    </xdr:to>
    <xdr:graphicFrame macro="">
      <xdr:nvGraphicFramePr>
        <xdr:cNvPr id="5" name="Chart 4">
          <a:extLst>
            <a:ext uri="{FF2B5EF4-FFF2-40B4-BE49-F238E27FC236}">
              <a16:creationId xmlns:a16="http://schemas.microsoft.com/office/drawing/2014/main" id="{7803DF4D-0845-48B8-A108-9D76C47E6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37</xdr:row>
      <xdr:rowOff>57150</xdr:rowOff>
    </xdr:from>
    <xdr:to>
      <xdr:col>7</xdr:col>
      <xdr:colOff>78105</xdr:colOff>
      <xdr:row>53</xdr:row>
      <xdr:rowOff>21546</xdr:rowOff>
    </xdr:to>
    <xdr:pic>
      <xdr:nvPicPr>
        <xdr:cNvPr id="2" name="Picture 1">
          <a:extLst>
            <a:ext uri="{FF2B5EF4-FFF2-40B4-BE49-F238E27FC236}">
              <a16:creationId xmlns:a16="http://schemas.microsoft.com/office/drawing/2014/main" id="{A0A92D83-F260-490F-9D75-556EB5189441}"/>
            </a:ext>
          </a:extLst>
        </xdr:cNvPr>
        <xdr:cNvPicPr>
          <a:picLocks noChangeAspect="1"/>
        </xdr:cNvPicPr>
      </xdr:nvPicPr>
      <xdr:blipFill>
        <a:blip xmlns:r="http://schemas.openxmlformats.org/officeDocument/2006/relationships" r:embed="rId1"/>
        <a:stretch>
          <a:fillRect/>
        </a:stretch>
      </xdr:blipFill>
      <xdr:spPr>
        <a:xfrm>
          <a:off x="9983142975" y="5467350"/>
          <a:ext cx="5429250" cy="3012396"/>
        </a:xfrm>
        <a:prstGeom prst="rect">
          <a:avLst/>
        </a:prstGeom>
      </xdr:spPr>
    </xdr:pic>
    <xdr:clientData/>
  </xdr:twoCellAnchor>
  <xdr:twoCellAnchor>
    <xdr:from>
      <xdr:col>0</xdr:col>
      <xdr:colOff>76200</xdr:colOff>
      <xdr:row>20</xdr:row>
      <xdr:rowOff>23812</xdr:rowOff>
    </xdr:from>
    <xdr:to>
      <xdr:col>8</xdr:col>
      <xdr:colOff>9525</xdr:colOff>
      <xdr:row>35</xdr:row>
      <xdr:rowOff>85725</xdr:rowOff>
    </xdr:to>
    <xdr:graphicFrame macro="">
      <xdr:nvGraphicFramePr>
        <xdr:cNvPr id="3" name="Chart 2">
          <a:extLst>
            <a:ext uri="{FF2B5EF4-FFF2-40B4-BE49-F238E27FC236}">
              <a16:creationId xmlns:a16="http://schemas.microsoft.com/office/drawing/2014/main" id="{F263E7E6-FFB5-4E2E-972F-80FA39A5826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152400</xdr:colOff>
      <xdr:row>21</xdr:row>
      <xdr:rowOff>9525</xdr:rowOff>
    </xdr:from>
    <xdr:to>
      <xdr:col>17</xdr:col>
      <xdr:colOff>304800</xdr:colOff>
      <xdr:row>36</xdr:row>
      <xdr:rowOff>119063</xdr:rowOff>
    </xdr:to>
    <xdr:graphicFrame macro="">
      <xdr:nvGraphicFramePr>
        <xdr:cNvPr id="4" name="Chart 3">
          <a:extLst>
            <a:ext uri="{FF2B5EF4-FFF2-40B4-BE49-F238E27FC236}">
              <a16:creationId xmlns:a16="http://schemas.microsoft.com/office/drawing/2014/main" id="{1022BDB7-99A6-4901-A706-C2A4447265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0</xdr:col>
      <xdr:colOff>0</xdr:colOff>
      <xdr:row>54</xdr:row>
      <xdr:rowOff>19050</xdr:rowOff>
    </xdr:from>
    <xdr:to>
      <xdr:col>1</xdr:col>
      <xdr:colOff>434282</xdr:colOff>
      <xdr:row>66</xdr:row>
      <xdr:rowOff>28575</xdr:rowOff>
    </xdr:to>
    <xdr:pic>
      <xdr:nvPicPr>
        <xdr:cNvPr id="5" name="Picture 4">
          <a:extLst>
            <a:ext uri="{FF2B5EF4-FFF2-40B4-BE49-F238E27FC236}">
              <a16:creationId xmlns:a16="http://schemas.microsoft.com/office/drawing/2014/main" id="{C7CB76B5-13C5-4DFA-A448-2292AA79F4E1}"/>
            </a:ext>
          </a:extLst>
        </xdr:cNvPr>
        <xdr:cNvPicPr>
          <a:picLocks noChangeAspect="1"/>
        </xdr:cNvPicPr>
      </xdr:nvPicPr>
      <xdr:blipFill>
        <a:blip xmlns:r="http://schemas.openxmlformats.org/officeDocument/2006/relationships" r:embed="rId4"/>
        <a:stretch>
          <a:fillRect/>
        </a:stretch>
      </xdr:blipFill>
      <xdr:spPr>
        <a:xfrm>
          <a:off x="9985937668" y="8667750"/>
          <a:ext cx="2634557" cy="2295525"/>
        </a:xfrm>
        <a:prstGeom prst="rect">
          <a:avLst/>
        </a:prstGeom>
      </xdr:spPr>
    </xdr:pic>
    <xdr:clientData/>
  </xdr:twoCellAnchor>
  <xdr:twoCellAnchor editAs="oneCell">
    <xdr:from>
      <xdr:col>2</xdr:col>
      <xdr:colOff>238125</xdr:colOff>
      <xdr:row>54</xdr:row>
      <xdr:rowOff>57150</xdr:rowOff>
    </xdr:from>
    <xdr:to>
      <xdr:col>7</xdr:col>
      <xdr:colOff>160136</xdr:colOff>
      <xdr:row>66</xdr:row>
      <xdr:rowOff>66675</xdr:rowOff>
    </xdr:to>
    <xdr:pic>
      <xdr:nvPicPr>
        <xdr:cNvPr id="6" name="Picture 5">
          <a:extLst>
            <a:ext uri="{FF2B5EF4-FFF2-40B4-BE49-F238E27FC236}">
              <a16:creationId xmlns:a16="http://schemas.microsoft.com/office/drawing/2014/main" id="{7EBA9A60-5D32-4105-9DEB-ACE955B546EF}"/>
            </a:ext>
          </a:extLst>
        </xdr:cNvPr>
        <xdr:cNvPicPr>
          <a:picLocks noChangeAspect="1"/>
        </xdr:cNvPicPr>
      </xdr:nvPicPr>
      <xdr:blipFill>
        <a:blip xmlns:r="http://schemas.openxmlformats.org/officeDocument/2006/relationships" r:embed="rId5"/>
        <a:stretch>
          <a:fillRect/>
        </a:stretch>
      </xdr:blipFill>
      <xdr:spPr>
        <a:xfrm>
          <a:off x="9983182864" y="8705850"/>
          <a:ext cx="2446136" cy="2295525"/>
        </a:xfrm>
        <a:prstGeom prst="rect">
          <a:avLst/>
        </a:prstGeom>
      </xdr:spPr>
    </xdr:pic>
    <xdr:clientData/>
  </xdr:twoCellAnchor>
  <xdr:twoCellAnchor editAs="oneCell">
    <xdr:from>
      <xdr:col>0</xdr:col>
      <xdr:colOff>0</xdr:colOff>
      <xdr:row>67</xdr:row>
      <xdr:rowOff>76200</xdr:rowOff>
    </xdr:from>
    <xdr:to>
      <xdr:col>1</xdr:col>
      <xdr:colOff>447675</xdr:colOff>
      <xdr:row>82</xdr:row>
      <xdr:rowOff>69140</xdr:rowOff>
    </xdr:to>
    <xdr:pic>
      <xdr:nvPicPr>
        <xdr:cNvPr id="7" name="Picture 6">
          <a:extLst>
            <a:ext uri="{FF2B5EF4-FFF2-40B4-BE49-F238E27FC236}">
              <a16:creationId xmlns:a16="http://schemas.microsoft.com/office/drawing/2014/main" id="{6A878834-26C2-44FE-A793-39272668CFC3}"/>
            </a:ext>
          </a:extLst>
        </xdr:cNvPr>
        <xdr:cNvPicPr>
          <a:picLocks noChangeAspect="1"/>
        </xdr:cNvPicPr>
      </xdr:nvPicPr>
      <xdr:blipFill>
        <a:blip xmlns:r="http://schemas.openxmlformats.org/officeDocument/2006/relationships" r:embed="rId6"/>
        <a:stretch>
          <a:fillRect/>
        </a:stretch>
      </xdr:blipFill>
      <xdr:spPr>
        <a:xfrm>
          <a:off x="9985924275" y="11201400"/>
          <a:ext cx="2647950" cy="2850440"/>
        </a:xfrm>
        <a:prstGeom prst="rect">
          <a:avLst/>
        </a:prstGeom>
      </xdr:spPr>
    </xdr:pic>
    <xdr:clientData/>
  </xdr:twoCellAnchor>
  <xdr:twoCellAnchor editAs="oneCell">
    <xdr:from>
      <xdr:col>2</xdr:col>
      <xdr:colOff>133350</xdr:colOff>
      <xdr:row>67</xdr:row>
      <xdr:rowOff>76201</xdr:rowOff>
    </xdr:from>
    <xdr:to>
      <xdr:col>7</xdr:col>
      <xdr:colOff>198812</xdr:colOff>
      <xdr:row>75</xdr:row>
      <xdr:rowOff>171451</xdr:rowOff>
    </xdr:to>
    <xdr:pic>
      <xdr:nvPicPr>
        <xdr:cNvPr id="8" name="Picture 7">
          <a:extLst>
            <a:ext uri="{FF2B5EF4-FFF2-40B4-BE49-F238E27FC236}">
              <a16:creationId xmlns:a16="http://schemas.microsoft.com/office/drawing/2014/main" id="{2084B198-1887-42AD-943C-AEE7BC287213}"/>
            </a:ext>
          </a:extLst>
        </xdr:cNvPr>
        <xdr:cNvPicPr>
          <a:picLocks noChangeAspect="1"/>
        </xdr:cNvPicPr>
      </xdr:nvPicPr>
      <xdr:blipFill>
        <a:blip xmlns:r="http://schemas.openxmlformats.org/officeDocument/2006/relationships" r:embed="rId7"/>
        <a:stretch>
          <a:fillRect/>
        </a:stretch>
      </xdr:blipFill>
      <xdr:spPr>
        <a:xfrm>
          <a:off x="9983144188" y="11201401"/>
          <a:ext cx="2589587" cy="1619250"/>
        </a:xfrm>
        <a:prstGeom prst="rect">
          <a:avLst/>
        </a:prstGeom>
      </xdr:spPr>
    </xdr:pic>
    <xdr:clientData/>
  </xdr:twoCellAnchor>
  <xdr:twoCellAnchor>
    <xdr:from>
      <xdr:col>8</xdr:col>
      <xdr:colOff>167640</xdr:colOff>
      <xdr:row>38</xdr:row>
      <xdr:rowOff>68580</xdr:rowOff>
    </xdr:from>
    <xdr:to>
      <xdr:col>17</xdr:col>
      <xdr:colOff>320040</xdr:colOff>
      <xdr:row>55</xdr:row>
      <xdr:rowOff>106680</xdr:rowOff>
    </xdr:to>
    <xdr:graphicFrame macro="">
      <xdr:nvGraphicFramePr>
        <xdr:cNvPr id="11" name="Chart 10">
          <a:extLst>
            <a:ext uri="{FF2B5EF4-FFF2-40B4-BE49-F238E27FC236}">
              <a16:creationId xmlns:a16="http://schemas.microsoft.com/office/drawing/2014/main" id="{1022BDB7-99A6-4901-A706-C2A4447265C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220980</xdr:colOff>
      <xdr:row>57</xdr:row>
      <xdr:rowOff>102870</xdr:rowOff>
    </xdr:from>
    <xdr:to>
      <xdr:col>17</xdr:col>
      <xdr:colOff>342900</xdr:colOff>
      <xdr:row>76</xdr:row>
      <xdr:rowOff>114300</xdr:rowOff>
    </xdr:to>
    <xdr:graphicFrame macro="">
      <xdr:nvGraphicFramePr>
        <xdr:cNvPr id="12" name="Chart 1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1912620</xdr:colOff>
      <xdr:row>5</xdr:row>
      <xdr:rowOff>148590</xdr:rowOff>
    </xdr:from>
    <xdr:to>
      <xdr:col>11</xdr:col>
      <xdr:colOff>30480</xdr:colOff>
      <xdr:row>23</xdr:row>
      <xdr:rowOff>160020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91440</xdr:colOff>
      <xdr:row>33</xdr:row>
      <xdr:rowOff>15240</xdr:rowOff>
    </xdr:from>
    <xdr:to>
      <xdr:col>11</xdr:col>
      <xdr:colOff>160020</xdr:colOff>
      <xdr:row>51</xdr:row>
      <xdr:rowOff>26670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0"/>
  <sheetViews>
    <sheetView rightToLeft="1" topLeftCell="A13" workbookViewId="0">
      <selection activeCell="G19" sqref="G19"/>
    </sheetView>
  </sheetViews>
  <sheetFormatPr defaultRowHeight="16.8" x14ac:dyDescent="0.5"/>
  <cols>
    <col min="1" max="1" width="49.6640625" style="14" bestFit="1" customWidth="1"/>
    <col min="2" max="2" width="10.6640625" style="15" bestFit="1" customWidth="1"/>
    <col min="3" max="3" width="9.109375" style="14" bestFit="1" customWidth="1"/>
    <col min="4" max="4" width="8.88671875" style="14"/>
    <col min="5" max="5" width="10.5546875" style="14" bestFit="1" customWidth="1"/>
    <col min="6" max="16384" width="8.88671875" style="14"/>
  </cols>
  <sheetData>
    <row r="1" spans="1:7" x14ac:dyDescent="0.5">
      <c r="A1" s="14" t="s">
        <v>152</v>
      </c>
      <c r="B1" s="15">
        <v>3</v>
      </c>
    </row>
    <row r="2" spans="1:7" x14ac:dyDescent="0.5">
      <c r="A2" s="14" t="s">
        <v>148</v>
      </c>
      <c r="B2" s="15">
        <f>'بورس کالا'!C23/10000*50</f>
        <v>28035.000000000004</v>
      </c>
      <c r="E2" s="15"/>
    </row>
    <row r="3" spans="1:7" x14ac:dyDescent="0.5">
      <c r="A3" s="14" t="s">
        <v>149</v>
      </c>
      <c r="B3" s="23">
        <v>0.09</v>
      </c>
    </row>
    <row r="4" spans="1:7" x14ac:dyDescent="0.5">
      <c r="A4" s="14" t="s">
        <v>150</v>
      </c>
      <c r="B4" s="23">
        <v>0.15</v>
      </c>
    </row>
    <row r="5" spans="1:7" x14ac:dyDescent="0.5">
      <c r="A5" s="14" t="s">
        <v>159</v>
      </c>
      <c r="B5" s="15">
        <v>5000</v>
      </c>
    </row>
    <row r="6" spans="1:7" x14ac:dyDescent="0.5">
      <c r="A6" s="14" t="s">
        <v>151</v>
      </c>
      <c r="B6" s="15">
        <f>(((B2)*(1+B3))*(1+B4))+B5</f>
        <v>40141.872500000005</v>
      </c>
    </row>
    <row r="7" spans="1:7" x14ac:dyDescent="0.5">
      <c r="A7" s="14" t="s">
        <v>153</v>
      </c>
      <c r="B7" s="15">
        <f>B6*1.5</f>
        <v>60212.808750000011</v>
      </c>
    </row>
    <row r="8" spans="1:7" x14ac:dyDescent="0.5">
      <c r="A8" s="14" t="s">
        <v>154</v>
      </c>
      <c r="B8" s="15">
        <f>B1*B6</f>
        <v>120425.61750000002</v>
      </c>
    </row>
    <row r="9" spans="1:7" x14ac:dyDescent="0.5">
      <c r="A9" s="14" t="s">
        <v>155</v>
      </c>
      <c r="B9" s="15">
        <f>B7*B1</f>
        <v>180638.42625000002</v>
      </c>
    </row>
    <row r="10" spans="1:7" x14ac:dyDescent="0.5">
      <c r="A10" s="14" t="s">
        <v>156</v>
      </c>
      <c r="B10" s="37">
        <f>B8/7500000</f>
        <v>1.6056749000000002E-2</v>
      </c>
    </row>
    <row r="11" spans="1:7" x14ac:dyDescent="0.5">
      <c r="A11" s="14" t="s">
        <v>157</v>
      </c>
      <c r="B11" s="37">
        <f>B9/7500000</f>
        <v>2.4085123500000003E-2</v>
      </c>
    </row>
    <row r="13" spans="1:7" ht="156.6" customHeight="1" x14ac:dyDescent="0.5">
      <c r="A13" s="61" t="s">
        <v>147</v>
      </c>
      <c r="B13" s="61"/>
      <c r="C13" s="61"/>
      <c r="D13" s="61"/>
      <c r="E13" s="61"/>
      <c r="F13" s="61"/>
      <c r="G13" s="61"/>
    </row>
    <row r="15" spans="1:7" ht="88.8" customHeight="1" x14ac:dyDescent="0.5">
      <c r="A15" s="61" t="s">
        <v>158</v>
      </c>
      <c r="B15" s="61"/>
      <c r="C15" s="61"/>
      <c r="D15" s="61"/>
      <c r="E15" s="61"/>
      <c r="F15" s="61"/>
      <c r="G15" s="61"/>
    </row>
    <row r="16" spans="1:7" x14ac:dyDescent="0.5">
      <c r="A16" s="62" t="s">
        <v>166</v>
      </c>
      <c r="B16" s="62"/>
      <c r="C16" s="62"/>
      <c r="D16" s="62"/>
      <c r="E16" s="62"/>
      <c r="F16" s="62"/>
      <c r="G16" s="62"/>
    </row>
    <row r="17" spans="1:7" x14ac:dyDescent="0.5">
      <c r="A17" s="14" t="s">
        <v>161</v>
      </c>
    </row>
    <row r="18" spans="1:7" x14ac:dyDescent="0.5">
      <c r="A18" s="14" t="s">
        <v>162</v>
      </c>
      <c r="B18" s="62" t="s">
        <v>164</v>
      </c>
      <c r="C18" s="62"/>
      <c r="D18" s="62"/>
      <c r="E18" s="62"/>
      <c r="F18" s="62"/>
      <c r="G18" s="62"/>
    </row>
    <row r="19" spans="1:7" x14ac:dyDescent="0.5">
      <c r="A19" s="14" t="s">
        <v>163</v>
      </c>
    </row>
    <row r="20" spans="1:7" x14ac:dyDescent="0.5">
      <c r="A20" s="14" t="s">
        <v>165</v>
      </c>
    </row>
  </sheetData>
  <mergeCells count="4">
    <mergeCell ref="A13:G13"/>
    <mergeCell ref="A15:G15"/>
    <mergeCell ref="B18:G18"/>
    <mergeCell ref="A16:G16"/>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8"/>
  <sheetViews>
    <sheetView showGridLines="0" rightToLeft="1" workbookViewId="0">
      <selection activeCell="G4" sqref="G4"/>
    </sheetView>
  </sheetViews>
  <sheetFormatPr defaultColWidth="9.109375" defaultRowHeight="16.8" x14ac:dyDescent="0.3"/>
  <cols>
    <col min="1" max="1" width="32.5546875" style="25" bestFit="1" customWidth="1"/>
    <col min="2" max="2" width="10.6640625" style="25" bestFit="1" customWidth="1"/>
    <col min="3" max="4" width="10.88671875" style="25" bestFit="1" customWidth="1"/>
    <col min="5" max="5" width="9.88671875" style="25" bestFit="1" customWidth="1"/>
    <col min="6" max="6" width="14.6640625" style="25" bestFit="1" customWidth="1"/>
    <col min="7" max="7" width="15" style="25" bestFit="1" customWidth="1"/>
    <col min="8" max="8" width="10.5546875" style="25" customWidth="1"/>
    <col min="9" max="9" width="14.44140625" style="25" customWidth="1"/>
    <col min="10" max="16384" width="9.109375" style="25"/>
  </cols>
  <sheetData>
    <row r="1" spans="1:9" ht="18.600000000000001" x14ac:dyDescent="0.3">
      <c r="A1" s="27" t="s">
        <v>104</v>
      </c>
      <c r="B1" s="27" t="s">
        <v>62</v>
      </c>
      <c r="C1" s="27" t="s">
        <v>63</v>
      </c>
      <c r="D1" s="27" t="s">
        <v>64</v>
      </c>
      <c r="E1" s="27" t="s">
        <v>65</v>
      </c>
      <c r="F1" s="27" t="s">
        <v>110</v>
      </c>
      <c r="G1" s="27" t="s">
        <v>111</v>
      </c>
      <c r="H1" s="27" t="s">
        <v>20</v>
      </c>
      <c r="I1" s="27" t="s">
        <v>31</v>
      </c>
    </row>
    <row r="2" spans="1:9" x14ac:dyDescent="0.3">
      <c r="A2" s="38" t="s">
        <v>105</v>
      </c>
      <c r="B2" s="25">
        <v>84980</v>
      </c>
      <c r="C2" s="25">
        <v>208552</v>
      </c>
      <c r="D2" s="25">
        <v>207168</v>
      </c>
      <c r="E2" s="25">
        <v>422908</v>
      </c>
      <c r="F2" s="25">
        <v>386725</v>
      </c>
      <c r="G2" s="25">
        <f>318602*0.8</f>
        <v>254881.6</v>
      </c>
      <c r="H2" s="25">
        <f>G2+F2</f>
        <v>641606.6</v>
      </c>
      <c r="I2" s="25">
        <f>(1+مفروضات!C8)*سربار!H2</f>
        <v>834088.58</v>
      </c>
    </row>
    <row r="3" spans="1:9" x14ac:dyDescent="0.3">
      <c r="A3" s="38" t="s">
        <v>106</v>
      </c>
      <c r="B3" s="25">
        <v>200217</v>
      </c>
      <c r="C3" s="25">
        <v>268717</v>
      </c>
      <c r="D3" s="25">
        <v>241216</v>
      </c>
      <c r="E3" s="25">
        <v>387019</v>
      </c>
      <c r="F3" s="25">
        <v>403583</v>
      </c>
      <c r="G3" s="25">
        <f>548913*0.8</f>
        <v>439130.4</v>
      </c>
      <c r="H3" s="25">
        <f t="shared" ref="H3:H6" si="0">G3+F3</f>
        <v>842713.4</v>
      </c>
      <c r="I3" s="25">
        <f>(((مفروضات!C2*مفروضات!C9*مفروضات!C11)+(مفروضات!C2*مفروضات!C10*مفروضات!C12))/1000000)+200000</f>
        <v>1716800</v>
      </c>
    </row>
    <row r="4" spans="1:9" x14ac:dyDescent="0.3">
      <c r="A4" s="38" t="s">
        <v>107</v>
      </c>
      <c r="B4" s="25">
        <v>162327</v>
      </c>
      <c r="C4" s="25">
        <v>163522</v>
      </c>
      <c r="D4" s="25">
        <v>169885</v>
      </c>
      <c r="E4" s="25">
        <v>170766</v>
      </c>
      <c r="F4" s="25">
        <v>92391</v>
      </c>
      <c r="G4" s="25">
        <v>92391</v>
      </c>
      <c r="H4" s="25">
        <f t="shared" si="0"/>
        <v>184782</v>
      </c>
      <c r="I4" s="25">
        <f>(1+0.1)*سربار!H4</f>
        <v>203260.2</v>
      </c>
    </row>
    <row r="5" spans="1:9" x14ac:dyDescent="0.3">
      <c r="A5" s="38" t="s">
        <v>108</v>
      </c>
      <c r="B5" s="25">
        <v>181096</v>
      </c>
      <c r="C5" s="25">
        <v>223334</v>
      </c>
      <c r="D5" s="25">
        <v>328942</v>
      </c>
      <c r="E5" s="25">
        <v>468571</v>
      </c>
      <c r="F5" s="25">
        <v>326769</v>
      </c>
      <c r="G5" s="25">
        <f>350583</f>
        <v>350583</v>
      </c>
      <c r="H5" s="25">
        <f t="shared" si="0"/>
        <v>677352</v>
      </c>
      <c r="I5" s="25">
        <f>(1+مفروضات!C8)*سربار!H5</f>
        <v>880557.6</v>
      </c>
    </row>
    <row r="6" spans="1:9" x14ac:dyDescent="0.3">
      <c r="A6" s="38" t="s">
        <v>109</v>
      </c>
      <c r="B6" s="25">
        <v>125551</v>
      </c>
      <c r="C6" s="25">
        <v>116945</v>
      </c>
      <c r="D6" s="25">
        <v>177825</v>
      </c>
      <c r="E6" s="25">
        <v>270551</v>
      </c>
      <c r="F6" s="25">
        <v>235810</v>
      </c>
      <c r="G6" s="25">
        <f>258436*0.8</f>
        <v>206748.80000000002</v>
      </c>
      <c r="H6" s="25">
        <f t="shared" si="0"/>
        <v>442558.80000000005</v>
      </c>
      <c r="I6" s="25">
        <f>(1+مفروضات!C8)*سربار!H6</f>
        <v>575326.44000000006</v>
      </c>
    </row>
    <row r="7" spans="1:9" ht="17.399999999999999" thickBot="1" x14ac:dyDescent="0.35">
      <c r="A7" s="39" t="s">
        <v>16</v>
      </c>
      <c r="B7" s="30">
        <f>SUM(B2:B6)</f>
        <v>754171</v>
      </c>
      <c r="C7" s="30">
        <f t="shared" ref="C7:H7" si="1">SUM(C2:C6)</f>
        <v>981070</v>
      </c>
      <c r="D7" s="30">
        <f t="shared" si="1"/>
        <v>1125036</v>
      </c>
      <c r="E7" s="30">
        <f t="shared" si="1"/>
        <v>1719815</v>
      </c>
      <c r="F7" s="30">
        <f t="shared" si="1"/>
        <v>1445278</v>
      </c>
      <c r="G7" s="30">
        <f t="shared" si="1"/>
        <v>1343734.8</v>
      </c>
      <c r="H7" s="30">
        <f t="shared" si="1"/>
        <v>2789012.8</v>
      </c>
      <c r="I7" s="30">
        <f>SUM(I2:I6)</f>
        <v>4210032.82</v>
      </c>
    </row>
    <row r="8" spans="1:9" ht="17.399999999999999" thickTop="1" x14ac:dyDescent="0.3"/>
  </sheetData>
  <phoneticPr fontId="10"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19"/>
  <sheetViews>
    <sheetView showGridLines="0" rightToLeft="1" workbookViewId="0">
      <selection activeCell="L14" sqref="L14"/>
    </sheetView>
  </sheetViews>
  <sheetFormatPr defaultColWidth="15.6640625" defaultRowHeight="16.8" x14ac:dyDescent="0.3"/>
  <cols>
    <col min="1" max="1" width="15.6640625" style="25"/>
    <col min="2" max="2" width="37.21875" style="24" bestFit="1" customWidth="1"/>
    <col min="3" max="3" width="10.6640625" style="25" bestFit="1" customWidth="1"/>
    <col min="4" max="4" width="10.44140625" style="25" bestFit="1" customWidth="1"/>
    <col min="5" max="6" width="10.6640625" style="25" bestFit="1" customWidth="1"/>
    <col min="7" max="7" width="10.77734375" style="25" bestFit="1" customWidth="1"/>
    <col min="8" max="8" width="16.44140625" style="25" customWidth="1"/>
    <col min="9" max="9" width="16.77734375" style="25" customWidth="1"/>
    <col min="10" max="10" width="12.5546875" style="25" customWidth="1"/>
    <col min="11" max="11" width="11" style="25" bestFit="1" customWidth="1"/>
    <col min="12" max="16384" width="15.6640625" style="25"/>
  </cols>
  <sheetData>
    <row r="1" spans="2:11" ht="24" customHeight="1" x14ac:dyDescent="0.3">
      <c r="B1" s="34" t="s">
        <v>82</v>
      </c>
      <c r="C1" s="27" t="s">
        <v>83</v>
      </c>
      <c r="D1" s="27" t="s">
        <v>62</v>
      </c>
      <c r="E1" s="27" t="s">
        <v>63</v>
      </c>
      <c r="F1" s="27" t="s">
        <v>64</v>
      </c>
      <c r="G1" s="27" t="s">
        <v>65</v>
      </c>
      <c r="H1" s="36" t="s">
        <v>101</v>
      </c>
      <c r="I1" s="36" t="s">
        <v>102</v>
      </c>
      <c r="J1" s="27" t="s">
        <v>20</v>
      </c>
      <c r="K1" s="27" t="s">
        <v>31</v>
      </c>
    </row>
    <row r="2" spans="2:11" x14ac:dyDescent="0.3">
      <c r="B2" s="24" t="s">
        <v>84</v>
      </c>
      <c r="C2" s="25">
        <v>1216539</v>
      </c>
      <c r="D2" s="25">
        <v>1374359</v>
      </c>
      <c r="E2" s="25">
        <v>1700836</v>
      </c>
      <c r="F2" s="25">
        <v>2251460</v>
      </c>
      <c r="G2" s="25">
        <v>4346023</v>
      </c>
      <c r="H2" s="25">
        <v>4651596</v>
      </c>
      <c r="I2" s="25">
        <f>J2-H2</f>
        <v>2854735</v>
      </c>
      <c r="J2" s="25">
        <f>'تولید و فروش (پیش بینی)'!M14</f>
        <v>7506331</v>
      </c>
      <c r="K2" s="25">
        <f>'تولید و فروش (پیش بینی)'!N14</f>
        <v>10400000</v>
      </c>
    </row>
    <row r="3" spans="2:11" x14ac:dyDescent="0.3">
      <c r="B3" s="24" t="s">
        <v>79</v>
      </c>
      <c r="C3" s="25">
        <v>-949902</v>
      </c>
      <c r="D3" s="25">
        <v>-898807</v>
      </c>
      <c r="E3" s="25">
        <v>-1118353</v>
      </c>
      <c r="F3" s="25">
        <v>-1310326</v>
      </c>
      <c r="G3" s="25">
        <v>-2111994</v>
      </c>
      <c r="H3" s="25">
        <v>-1657829</v>
      </c>
      <c r="I3" s="25">
        <f>-'ساختار بهای تمام شده'!G16</f>
        <v>-1657361.632</v>
      </c>
      <c r="J3" s="25">
        <f>-'ساختار بهای تمام شده'!H16</f>
        <v>-3315190.6320000002</v>
      </c>
      <c r="K3" s="25">
        <f>-'ساختار بهای تمام شده'!I16</f>
        <v>-5083752.42</v>
      </c>
    </row>
    <row r="4" spans="2:11" x14ac:dyDescent="0.3">
      <c r="B4" s="28" t="s">
        <v>85</v>
      </c>
      <c r="C4" s="29">
        <v>266637</v>
      </c>
      <c r="D4" s="29">
        <v>475552</v>
      </c>
      <c r="E4" s="29">
        <v>582483</v>
      </c>
      <c r="F4" s="29">
        <v>941134</v>
      </c>
      <c r="G4" s="29">
        <v>2234029</v>
      </c>
      <c r="H4" s="29">
        <v>2993767</v>
      </c>
      <c r="I4" s="29">
        <f>I2+I3</f>
        <v>1197373.368</v>
      </c>
      <c r="J4" s="29">
        <f>J2+J3</f>
        <v>4191140.3679999998</v>
      </c>
      <c r="K4" s="29">
        <f t="shared" ref="K4" si="0">K2+K3</f>
        <v>5316247.58</v>
      </c>
    </row>
    <row r="5" spans="2:11" x14ac:dyDescent="0.3">
      <c r="B5" s="24" t="s">
        <v>86</v>
      </c>
      <c r="C5" s="25">
        <v>-42638</v>
      </c>
      <c r="D5" s="25">
        <v>-52269</v>
      </c>
      <c r="E5" s="25">
        <v>-75595</v>
      </c>
      <c r="F5" s="25">
        <v>-63127</v>
      </c>
      <c r="G5" s="25">
        <v>-85258</v>
      </c>
      <c r="H5" s="25">
        <v>-155366</v>
      </c>
      <c r="I5" s="25">
        <f>H5</f>
        <v>-155366</v>
      </c>
      <c r="J5" s="25">
        <f>I5+H5</f>
        <v>-310732</v>
      </c>
      <c r="K5" s="25">
        <f>(1+مفروضات!C8)*'سود و زیان'!J5</f>
        <v>-403951.60000000003</v>
      </c>
    </row>
    <row r="6" spans="2:11" x14ac:dyDescent="0.3">
      <c r="B6" s="24" t="s">
        <v>87</v>
      </c>
      <c r="C6" s="25">
        <v>-32208</v>
      </c>
      <c r="D6" s="25">
        <v>-37354</v>
      </c>
      <c r="E6" s="25">
        <v>19996</v>
      </c>
      <c r="F6" s="25">
        <v>41899</v>
      </c>
      <c r="G6" s="25">
        <v>61635</v>
      </c>
      <c r="H6" s="25">
        <f>14729-57</f>
        <v>14672</v>
      </c>
      <c r="I6" s="25">
        <v>37636</v>
      </c>
      <c r="J6" s="25">
        <f>I6+H6</f>
        <v>52308</v>
      </c>
      <c r="K6" s="25">
        <v>0</v>
      </c>
    </row>
    <row r="7" spans="2:11" x14ac:dyDescent="0.3">
      <c r="B7" s="28" t="s">
        <v>88</v>
      </c>
      <c r="C7" s="29">
        <v>191791</v>
      </c>
      <c r="D7" s="29">
        <v>385929</v>
      </c>
      <c r="E7" s="29">
        <v>526884</v>
      </c>
      <c r="F7" s="29">
        <v>919906</v>
      </c>
      <c r="G7" s="29">
        <v>2210406</v>
      </c>
      <c r="H7" s="29">
        <v>2853073</v>
      </c>
      <c r="I7" s="29">
        <f>I4+I5+I6</f>
        <v>1079643.368</v>
      </c>
      <c r="J7" s="29">
        <f>J4+J5+J6</f>
        <v>3932716.3679999998</v>
      </c>
      <c r="K7" s="29">
        <f t="shared" ref="K7" si="1">K4+K5+K6</f>
        <v>4912295.9800000004</v>
      </c>
    </row>
    <row r="8" spans="2:11" x14ac:dyDescent="0.3">
      <c r="B8" s="24" t="s">
        <v>89</v>
      </c>
      <c r="C8" s="25">
        <v>-24040</v>
      </c>
      <c r="D8" s="25">
        <v>-10387</v>
      </c>
      <c r="E8" s="25">
        <v>-2370</v>
      </c>
      <c r="F8" s="25">
        <v>0</v>
      </c>
      <c r="G8" s="25">
        <v>-5328</v>
      </c>
      <c r="H8" s="25">
        <v>0</v>
      </c>
      <c r="I8" s="25">
        <v>0</v>
      </c>
      <c r="J8" s="25">
        <f>I8+H8</f>
        <v>0</v>
      </c>
      <c r="K8" s="25">
        <v>0</v>
      </c>
    </row>
    <row r="9" spans="2:11" x14ac:dyDescent="0.3">
      <c r="B9" s="24" t="s">
        <v>90</v>
      </c>
      <c r="C9" s="25">
        <v>18995</v>
      </c>
      <c r="D9" s="25">
        <v>16013</v>
      </c>
      <c r="E9" s="25">
        <v>20232</v>
      </c>
      <c r="F9" s="25">
        <v>68671</v>
      </c>
      <c r="G9" s="25">
        <v>581227</v>
      </c>
      <c r="H9" s="25">
        <v>705808</v>
      </c>
      <c r="I9" s="25">
        <v>192696</v>
      </c>
      <c r="J9" s="25">
        <f>I9+H9</f>
        <v>898504</v>
      </c>
      <c r="K9" s="25">
        <v>400000</v>
      </c>
    </row>
    <row r="10" spans="2:11" x14ac:dyDescent="0.3">
      <c r="B10" s="28" t="s">
        <v>95</v>
      </c>
      <c r="C10" s="29">
        <v>186746</v>
      </c>
      <c r="D10" s="29">
        <v>391555</v>
      </c>
      <c r="E10" s="29">
        <v>544746</v>
      </c>
      <c r="F10" s="29">
        <v>988577</v>
      </c>
      <c r="G10" s="29">
        <v>2786305</v>
      </c>
      <c r="H10" s="29">
        <v>3558881</v>
      </c>
      <c r="I10" s="29">
        <f>I7+I8+I9</f>
        <v>1272339.368</v>
      </c>
      <c r="J10" s="29">
        <f t="shared" ref="J10:K10" si="2">J7+J8+J9</f>
        <v>4831220.3679999998</v>
      </c>
      <c r="K10" s="29">
        <f t="shared" si="2"/>
        <v>5312295.9800000004</v>
      </c>
    </row>
    <row r="11" spans="2:11" x14ac:dyDescent="0.3">
      <c r="B11" s="24" t="s">
        <v>91</v>
      </c>
      <c r="C11" s="25">
        <v>-28547</v>
      </c>
      <c r="D11" s="25">
        <v>-63350</v>
      </c>
      <c r="E11" s="25">
        <v>-84040</v>
      </c>
      <c r="F11" s="25">
        <v>-71900</v>
      </c>
      <c r="G11" s="25">
        <v>-203480</v>
      </c>
      <c r="H11" s="25">
        <v>-578680</v>
      </c>
      <c r="I11" s="25">
        <f>-0.16*I10</f>
        <v>-203574.29888000002</v>
      </c>
      <c r="J11" s="25">
        <f t="shared" ref="J11:K11" si="3">-0.16*J10</f>
        <v>-772995.25887999998</v>
      </c>
      <c r="K11" s="25">
        <f t="shared" si="3"/>
        <v>-849967.35680000007</v>
      </c>
    </row>
    <row r="12" spans="2:11" x14ac:dyDescent="0.3">
      <c r="B12" s="28" t="s">
        <v>92</v>
      </c>
      <c r="C12" s="29">
        <v>158199</v>
      </c>
      <c r="D12" s="29">
        <v>328205</v>
      </c>
      <c r="E12" s="29">
        <v>460706</v>
      </c>
      <c r="F12" s="29">
        <v>916677</v>
      </c>
      <c r="G12" s="29">
        <v>2582825</v>
      </c>
      <c r="H12" s="29">
        <v>2980201</v>
      </c>
      <c r="I12" s="29">
        <f>I10+I11</f>
        <v>1068765.0691200001</v>
      </c>
      <c r="J12" s="29">
        <f>J10+J11</f>
        <v>4058225.1091199997</v>
      </c>
      <c r="K12" s="29">
        <f t="shared" ref="K12" si="4">K10+K11</f>
        <v>4462328.6232000003</v>
      </c>
    </row>
    <row r="13" spans="2:11" x14ac:dyDescent="0.3">
      <c r="B13" s="24" t="s">
        <v>93</v>
      </c>
      <c r="C13" s="25">
        <f>C12/700</f>
        <v>225.99857142857144</v>
      </c>
      <c r="D13" s="25">
        <v>469</v>
      </c>
      <c r="E13" s="25">
        <v>658</v>
      </c>
      <c r="F13" s="25">
        <v>1310</v>
      </c>
      <c r="G13" s="25">
        <v>3690</v>
      </c>
      <c r="H13" s="25">
        <f>H12/700</f>
        <v>4257.43</v>
      </c>
      <c r="I13" s="25">
        <f>I12/700</f>
        <v>1526.8072416000002</v>
      </c>
      <c r="J13" s="25">
        <f t="shared" ref="J13:K13" si="5">J12/700</f>
        <v>5797.4644415999992</v>
      </c>
      <c r="K13" s="25">
        <f t="shared" si="5"/>
        <v>6374.7551760000006</v>
      </c>
    </row>
    <row r="14" spans="2:11" x14ac:dyDescent="0.3">
      <c r="B14" s="24" t="s">
        <v>94</v>
      </c>
      <c r="C14" s="25">
        <v>700000</v>
      </c>
      <c r="D14" s="25">
        <v>700000</v>
      </c>
      <c r="E14" s="25">
        <v>700000</v>
      </c>
      <c r="F14" s="25">
        <v>700000</v>
      </c>
      <c r="G14" s="25">
        <v>700000</v>
      </c>
      <c r="H14" s="25">
        <v>700000</v>
      </c>
      <c r="I14" s="25">
        <v>700000</v>
      </c>
      <c r="J14" s="25">
        <v>700000</v>
      </c>
      <c r="K14" s="25">
        <v>700000</v>
      </c>
    </row>
    <row r="16" spans="2:11" x14ac:dyDescent="0.3">
      <c r="B16" s="24" t="s">
        <v>96</v>
      </c>
      <c r="C16" s="35">
        <f>C4/C2</f>
        <v>0.21917669717123742</v>
      </c>
      <c r="D16" s="35">
        <f t="shared" ref="D16:G16" si="6">D4/D2</f>
        <v>0.34601730697728905</v>
      </c>
      <c r="E16" s="35">
        <f t="shared" si="6"/>
        <v>0.3424686448311301</v>
      </c>
      <c r="F16" s="35">
        <f t="shared" si="6"/>
        <v>0.41801053538592736</v>
      </c>
      <c r="G16" s="35">
        <f t="shared" si="6"/>
        <v>0.51403984746514231</v>
      </c>
      <c r="H16" s="35">
        <f t="shared" ref="H16:K16" si="7">H4/H2</f>
        <v>0.64359996009971632</v>
      </c>
      <c r="I16" s="35">
        <f t="shared" si="7"/>
        <v>0.41943415693575764</v>
      </c>
      <c r="J16" s="35">
        <f t="shared" si="7"/>
        <v>0.55834739608471828</v>
      </c>
      <c r="K16" s="35">
        <f t="shared" si="7"/>
        <v>0.51117765192307696</v>
      </c>
    </row>
    <row r="17" spans="2:11" x14ac:dyDescent="0.3">
      <c r="B17" s="24" t="s">
        <v>97</v>
      </c>
      <c r="C17" s="35">
        <f>C7/C2</f>
        <v>0.15765298112103271</v>
      </c>
      <c r="D17" s="35">
        <f t="shared" ref="D17:G17" si="8">D7/D2</f>
        <v>0.28080654326853466</v>
      </c>
      <c r="E17" s="35">
        <f t="shared" si="8"/>
        <v>0.30977942611750925</v>
      </c>
      <c r="F17" s="35">
        <f t="shared" si="8"/>
        <v>0.40858198679967667</v>
      </c>
      <c r="G17" s="35">
        <f t="shared" si="8"/>
        <v>0.50860430329061768</v>
      </c>
      <c r="H17" s="35">
        <f t="shared" ref="H17:K17" si="9">H7/H2</f>
        <v>0.61335356724874646</v>
      </c>
      <c r="I17" s="35">
        <f t="shared" si="9"/>
        <v>0.37819390171066669</v>
      </c>
      <c r="J17" s="35">
        <f t="shared" si="9"/>
        <v>0.523919924128046</v>
      </c>
      <c r="K17" s="35">
        <f t="shared" si="9"/>
        <v>0.47233615192307699</v>
      </c>
    </row>
    <row r="18" spans="2:11" x14ac:dyDescent="0.3">
      <c r="B18" s="24" t="s">
        <v>98</v>
      </c>
      <c r="C18" s="35">
        <f>C12/C2</f>
        <v>0.13004022065877049</v>
      </c>
      <c r="D18" s="35">
        <f t="shared" ref="D18:G18" si="10">D12/D2</f>
        <v>0.23880587241033821</v>
      </c>
      <c r="E18" s="35">
        <f t="shared" si="10"/>
        <v>0.27087032494608532</v>
      </c>
      <c r="F18" s="35">
        <f t="shared" si="10"/>
        <v>0.40714780631234843</v>
      </c>
      <c r="G18" s="35">
        <f t="shared" si="10"/>
        <v>0.59429621058149029</v>
      </c>
      <c r="H18" s="35">
        <f t="shared" ref="H18:K18" si="11">H12/H2</f>
        <v>0.64068354173492281</v>
      </c>
      <c r="I18" s="35">
        <f t="shared" si="11"/>
        <v>0.3743832857060288</v>
      </c>
      <c r="J18" s="35">
        <f t="shared" si="11"/>
        <v>0.54064030871007418</v>
      </c>
      <c r="K18" s="35">
        <f t="shared" si="11"/>
        <v>0.42907005992307695</v>
      </c>
    </row>
    <row r="19" spans="2:11" x14ac:dyDescent="0.3">
      <c r="B19" s="24" t="s">
        <v>99</v>
      </c>
      <c r="C19" s="35">
        <f>-C11/C10</f>
        <v>0.15286538935238239</v>
      </c>
      <c r="D19" s="35">
        <f t="shared" ref="D19:G19" si="12">-D11/D10</f>
        <v>0.1617908084432583</v>
      </c>
      <c r="E19" s="35">
        <f t="shared" si="12"/>
        <v>0.15427373491498791</v>
      </c>
      <c r="F19" s="35">
        <f t="shared" si="12"/>
        <v>7.2730803973792627E-2</v>
      </c>
      <c r="G19" s="35">
        <f t="shared" si="12"/>
        <v>7.3028616752293815E-2</v>
      </c>
      <c r="H19" s="35">
        <f t="shared" ref="H19:K19" si="13">-H11/H10</f>
        <v>0.16260167170523543</v>
      </c>
      <c r="I19" s="35">
        <f t="shared" si="13"/>
        <v>0.16</v>
      </c>
      <c r="J19" s="35">
        <f t="shared" si="13"/>
        <v>0.16</v>
      </c>
      <c r="K19" s="35">
        <f t="shared" si="13"/>
        <v>0.16</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7:Q28"/>
  <sheetViews>
    <sheetView showGridLines="0" rightToLeft="1" tabSelected="1" topLeftCell="A16" workbookViewId="0">
      <selection activeCell="S30" sqref="S30"/>
    </sheetView>
  </sheetViews>
  <sheetFormatPr defaultRowHeight="14.4" x14ac:dyDescent="0.3"/>
  <cols>
    <col min="2" max="2" width="9.6640625" bestFit="1" customWidth="1"/>
  </cols>
  <sheetData>
    <row r="17" spans="2:17" ht="16.8" x14ac:dyDescent="0.5">
      <c r="B17" s="64" t="s">
        <v>124</v>
      </c>
      <c r="C17" s="64"/>
      <c r="D17" s="64"/>
      <c r="E17" s="64"/>
      <c r="F17" s="64" t="s">
        <v>125</v>
      </c>
      <c r="G17" s="64"/>
      <c r="H17" s="64"/>
      <c r="I17" s="64"/>
    </row>
    <row r="18" spans="2:17" ht="16.8" x14ac:dyDescent="0.3">
      <c r="B18" s="65">
        <v>0.33</v>
      </c>
      <c r="C18" s="65"/>
      <c r="D18" s="65"/>
      <c r="E18" s="65"/>
      <c r="F18" s="65">
        <v>0.4</v>
      </c>
      <c r="G18" s="65"/>
      <c r="H18" s="65"/>
      <c r="I18" s="65"/>
      <c r="K18" s="21"/>
      <c r="L18" s="21"/>
      <c r="M18" s="21"/>
      <c r="N18" s="21"/>
      <c r="O18" s="21"/>
      <c r="P18" s="21"/>
      <c r="Q18" s="21"/>
    </row>
    <row r="19" spans="2:17" ht="16.8" x14ac:dyDescent="0.3">
      <c r="B19" s="65"/>
      <c r="C19" s="65"/>
      <c r="D19" s="65"/>
      <c r="E19" s="65"/>
      <c r="F19" s="65"/>
      <c r="G19" s="65"/>
      <c r="H19" s="65"/>
      <c r="I19" s="65"/>
      <c r="K19" s="20"/>
      <c r="L19" s="20"/>
      <c r="M19" s="20"/>
      <c r="N19" s="20"/>
      <c r="O19" s="20"/>
      <c r="P19" s="20"/>
      <c r="Q19" s="20"/>
    </row>
    <row r="20" spans="2:17" x14ac:dyDescent="0.3">
      <c r="B20" s="65"/>
      <c r="C20" s="65"/>
      <c r="D20" s="65"/>
      <c r="E20" s="65"/>
      <c r="F20" s="65"/>
      <c r="G20" s="65"/>
      <c r="H20" s="65"/>
      <c r="I20" s="65"/>
    </row>
    <row r="22" spans="2:17" ht="22.5" customHeight="1" x14ac:dyDescent="0.3">
      <c r="B22" s="63" t="s">
        <v>126</v>
      </c>
      <c r="C22" s="63"/>
      <c r="D22" s="63"/>
      <c r="E22" s="63"/>
      <c r="F22" s="63"/>
      <c r="G22" s="63"/>
      <c r="H22" s="63"/>
      <c r="I22" s="63"/>
    </row>
    <row r="23" spans="2:17" ht="16.8" x14ac:dyDescent="0.3">
      <c r="B23" s="45">
        <f>'سود و زیان'!K13</f>
        <v>6374.7551760000006</v>
      </c>
      <c r="C23" s="45">
        <v>480</v>
      </c>
      <c r="D23" s="45">
        <v>520</v>
      </c>
      <c r="E23" s="45">
        <v>560</v>
      </c>
      <c r="F23" s="45">
        <v>600</v>
      </c>
      <c r="G23" s="45">
        <v>650</v>
      </c>
      <c r="H23" s="45">
        <v>700</v>
      </c>
      <c r="I23" s="45">
        <v>800</v>
      </c>
    </row>
    <row r="24" spans="2:17" ht="16.8" x14ac:dyDescent="0.3">
      <c r="B24" s="45">
        <f>مفروضات!G3</f>
        <v>1400000</v>
      </c>
      <c r="C24" s="20">
        <f>مفروضات!H3</f>
        <v>2517.4751759999999</v>
      </c>
      <c r="D24" s="20">
        <f>مفروضات!I3</f>
        <v>3139.0751759999998</v>
      </c>
      <c r="E24" s="20">
        <f>مفروضات!J3</f>
        <v>3760.6751759999997</v>
      </c>
      <c r="F24" s="20">
        <f>مفروضات!K3</f>
        <v>4382.2751760000001</v>
      </c>
      <c r="G24" s="20">
        <f>مفروضات!L3</f>
        <v>5159.2751760000001</v>
      </c>
      <c r="H24" s="20">
        <f>مفروضات!M3</f>
        <v>5936.2751760000001</v>
      </c>
      <c r="I24" s="20">
        <f>مفروضات!N3</f>
        <v>7490.2751760000001</v>
      </c>
    </row>
    <row r="25" spans="2:17" ht="16.8" x14ac:dyDescent="0.3">
      <c r="B25" s="45">
        <f>مفروضات!G4</f>
        <v>1500000</v>
      </c>
      <c r="C25" s="20">
        <f>مفروضات!H4</f>
        <v>2936.5151759999999</v>
      </c>
      <c r="D25" s="20">
        <f>مفروضات!I4</f>
        <v>3602.5151759999999</v>
      </c>
      <c r="E25" s="20">
        <f>مفروضات!J4</f>
        <v>4268.5151759999999</v>
      </c>
      <c r="F25" s="20">
        <f>مفروضات!K4</f>
        <v>4934.5151759999999</v>
      </c>
      <c r="G25" s="20">
        <f>مفروضات!L4</f>
        <v>5767.0151760000008</v>
      </c>
      <c r="H25" s="20">
        <f>مفروضات!M4</f>
        <v>6599.5151760000008</v>
      </c>
      <c r="I25" s="20">
        <f>مفروضات!N4</f>
        <v>8264.5151760000008</v>
      </c>
    </row>
    <row r="26" spans="2:17" ht="16.8" x14ac:dyDescent="0.3">
      <c r="B26" s="45">
        <f>مفروضات!G5</f>
        <v>1600000</v>
      </c>
      <c r="C26" s="20">
        <f>مفروضات!H5</f>
        <v>3355.5551759999998</v>
      </c>
      <c r="D26" s="20">
        <f>مفروضات!I5</f>
        <v>4065.9551760000004</v>
      </c>
      <c r="E26" s="20">
        <f>مفروضات!J5</f>
        <v>4776.355176</v>
      </c>
      <c r="F26" s="20">
        <f>مفروضات!K5</f>
        <v>5486.7551760000006</v>
      </c>
      <c r="G26" s="20">
        <f>مفروضات!L5</f>
        <v>6374.7551760000006</v>
      </c>
      <c r="H26" s="20">
        <f>مفروضات!M5</f>
        <v>7262.7551760000006</v>
      </c>
      <c r="I26" s="20">
        <f>مفروضات!N5</f>
        <v>9038.7551760000006</v>
      </c>
    </row>
    <row r="27" spans="2:17" ht="16.8" x14ac:dyDescent="0.3">
      <c r="B27" s="45">
        <f>مفروضات!G6</f>
        <v>1700000</v>
      </c>
      <c r="C27" s="20">
        <f>مفروضات!H6</f>
        <v>3774.5951759999998</v>
      </c>
      <c r="D27" s="20">
        <f>مفروضات!I6</f>
        <v>4529.395176</v>
      </c>
      <c r="E27" s="20">
        <f>مفروضات!J6</f>
        <v>5284.1951760000002</v>
      </c>
      <c r="F27" s="20">
        <f>مفروضات!K6</f>
        <v>6038.9951760000004</v>
      </c>
      <c r="G27" s="20">
        <f>مفروضات!L6</f>
        <v>6982.4951760000004</v>
      </c>
      <c r="H27" s="20">
        <f>مفروضات!M6</f>
        <v>7925.9951760000004</v>
      </c>
      <c r="I27" s="20">
        <f>مفروضات!N6</f>
        <v>9812.9951760000004</v>
      </c>
    </row>
    <row r="28" spans="2:17" ht="16.8" x14ac:dyDescent="0.3">
      <c r="B28" s="45">
        <f>مفروضات!G7</f>
        <v>1800000</v>
      </c>
      <c r="C28" s="20">
        <f>مفروضات!H7</f>
        <v>4193.6351760000007</v>
      </c>
      <c r="D28" s="20">
        <f>مفروضات!I7</f>
        <v>4992.8351759999996</v>
      </c>
      <c r="E28" s="20">
        <f>مفروضات!J7</f>
        <v>5792.0351760000003</v>
      </c>
      <c r="F28" s="20">
        <f>مفروضات!K7</f>
        <v>6591.2351760000001</v>
      </c>
      <c r="G28" s="20">
        <f>مفروضات!L7</f>
        <v>7590.2351760000001</v>
      </c>
      <c r="H28" s="20">
        <f>مفروضات!M7</f>
        <v>8589.2351760000001</v>
      </c>
      <c r="I28" s="20">
        <f>مفروضات!N7</f>
        <v>10587.235176</v>
      </c>
    </row>
  </sheetData>
  <mergeCells count="5">
    <mergeCell ref="B22:I22"/>
    <mergeCell ref="F17:I17"/>
    <mergeCell ref="F18:I20"/>
    <mergeCell ref="B17:E17"/>
    <mergeCell ref="B18:E20"/>
  </mergeCell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4"/>
  <sheetViews>
    <sheetView showGridLines="0" rightToLeft="1" topLeftCell="A19" workbookViewId="0">
      <selection activeCell="F2" sqref="F2"/>
    </sheetView>
  </sheetViews>
  <sheetFormatPr defaultRowHeight="16.8" x14ac:dyDescent="0.5"/>
  <cols>
    <col min="1" max="1" width="11.109375" style="10" customWidth="1"/>
    <col min="2" max="2" width="8.44140625" style="47" bestFit="1" customWidth="1"/>
    <col min="3" max="3" width="7.88671875" style="47" bestFit="1" customWidth="1"/>
    <col min="4" max="4" width="7.33203125" style="47" bestFit="1" customWidth="1"/>
    <col min="5" max="5" width="8.88671875" style="10"/>
    <col min="6" max="6" width="11.33203125" style="10" bestFit="1" customWidth="1"/>
    <col min="7" max="9" width="8.88671875" style="10"/>
    <col min="10" max="10" width="9.77734375" style="10" bestFit="1" customWidth="1"/>
    <col min="11" max="11" width="9.77734375" style="10" customWidth="1"/>
    <col min="12" max="13" width="8.88671875" style="10"/>
    <col min="14" max="14" width="11.33203125" style="10" bestFit="1" customWidth="1"/>
    <col min="15" max="16384" width="8.88671875" style="10"/>
  </cols>
  <sheetData>
    <row r="1" spans="1:11" ht="31.2" customHeight="1" thickBot="1" x14ac:dyDescent="0.55000000000000004">
      <c r="A1" s="72" t="s">
        <v>48</v>
      </c>
      <c r="B1" s="69" t="s">
        <v>128</v>
      </c>
      <c r="C1" s="70"/>
      <c r="D1" s="71"/>
      <c r="E1" s="66" t="s">
        <v>131</v>
      </c>
      <c r="F1" s="67"/>
      <c r="G1" s="67"/>
      <c r="H1" s="67"/>
      <c r="I1" s="67"/>
      <c r="J1" s="67"/>
      <c r="K1" s="68"/>
    </row>
    <row r="2" spans="1:11" ht="176.4" thickBot="1" x14ac:dyDescent="0.55000000000000004">
      <c r="A2" s="73"/>
      <c r="B2" s="51" t="s">
        <v>69</v>
      </c>
      <c r="C2" s="51" t="s">
        <v>127</v>
      </c>
      <c r="D2" s="51" t="s">
        <v>10</v>
      </c>
      <c r="E2" s="52" t="s">
        <v>134</v>
      </c>
      <c r="F2" s="52" t="s">
        <v>129</v>
      </c>
      <c r="G2" s="52" t="s">
        <v>130</v>
      </c>
      <c r="H2" s="52" t="s">
        <v>132</v>
      </c>
      <c r="I2" s="52" t="s">
        <v>133</v>
      </c>
      <c r="J2" s="52" t="s">
        <v>135</v>
      </c>
      <c r="K2" s="52" t="s">
        <v>144</v>
      </c>
    </row>
    <row r="3" spans="1:11" ht="17.399999999999999" thickBot="1" x14ac:dyDescent="0.55000000000000004">
      <c r="A3" s="46">
        <v>1388</v>
      </c>
      <c r="B3" s="48">
        <v>184883.14400227842</v>
      </c>
      <c r="C3" s="48">
        <v>164389</v>
      </c>
      <c r="D3" s="48">
        <f t="shared" ref="D3:D14" si="0">B3-C3</f>
        <v>20494.144002278423</v>
      </c>
      <c r="E3" s="56">
        <v>10796</v>
      </c>
      <c r="F3" s="48">
        <v>1600000</v>
      </c>
      <c r="G3" s="48">
        <v>8000</v>
      </c>
      <c r="H3" s="54"/>
      <c r="I3" s="53"/>
      <c r="J3" s="48">
        <v>1400000</v>
      </c>
      <c r="K3" s="48">
        <f>F3/(G3*12)</f>
        <v>16.666666666666668</v>
      </c>
    </row>
    <row r="4" spans="1:11" ht="17.399999999999999" thickBot="1" x14ac:dyDescent="0.55000000000000004">
      <c r="A4" s="46">
        <v>1389</v>
      </c>
      <c r="B4" s="48">
        <v>216944</v>
      </c>
      <c r="C4" s="48">
        <v>197105</v>
      </c>
      <c r="D4" s="48">
        <f t="shared" si="0"/>
        <v>19839</v>
      </c>
      <c r="E4" s="56">
        <v>27877</v>
      </c>
      <c r="F4" s="48">
        <v>1800000</v>
      </c>
      <c r="G4" s="48">
        <v>9700</v>
      </c>
      <c r="H4" s="54">
        <f>F4/F3-1</f>
        <v>0.125</v>
      </c>
      <c r="I4" s="54">
        <f>G4/G3-1</f>
        <v>0.21249999999999991</v>
      </c>
      <c r="J4" s="48">
        <v>1600000</v>
      </c>
      <c r="K4" s="48">
        <f t="shared" ref="K4:K14" si="1">F4/(G4*12)</f>
        <v>15.463917525773196</v>
      </c>
    </row>
    <row r="5" spans="1:11" ht="17.399999999999999" thickBot="1" x14ac:dyDescent="0.55000000000000004">
      <c r="A5" s="46">
        <v>1390</v>
      </c>
      <c r="B5" s="48">
        <v>183385</v>
      </c>
      <c r="C5" s="48">
        <v>163618</v>
      </c>
      <c r="D5" s="48">
        <f t="shared" si="0"/>
        <v>19767</v>
      </c>
      <c r="E5" s="56">
        <v>28708</v>
      </c>
      <c r="F5" s="48">
        <v>1900000</v>
      </c>
      <c r="G5" s="48">
        <v>11600</v>
      </c>
      <c r="H5" s="54">
        <f t="shared" ref="H5:H14" si="2">F5/F4-1</f>
        <v>5.555555555555558E-2</v>
      </c>
      <c r="I5" s="54">
        <f t="shared" ref="I5:I14" si="3">G5/G4-1</f>
        <v>0.19587628865979378</v>
      </c>
      <c r="J5" s="48">
        <v>2000000</v>
      </c>
      <c r="K5" s="48">
        <f t="shared" si="1"/>
        <v>13.649425287356323</v>
      </c>
    </row>
    <row r="6" spans="1:11" ht="17.399999999999999" thickBot="1" x14ac:dyDescent="0.55000000000000004">
      <c r="A6" s="46">
        <v>1391</v>
      </c>
      <c r="B6" s="48">
        <v>206372</v>
      </c>
      <c r="C6" s="48">
        <v>180907</v>
      </c>
      <c r="D6" s="48">
        <f t="shared" si="0"/>
        <v>25465</v>
      </c>
      <c r="E6" s="56">
        <v>23757</v>
      </c>
      <c r="F6" s="48">
        <v>2900000</v>
      </c>
      <c r="G6" s="48">
        <v>14000</v>
      </c>
      <c r="H6" s="54">
        <f t="shared" si="2"/>
        <v>0.52631578947368429</v>
      </c>
      <c r="I6" s="54">
        <f t="shared" si="3"/>
        <v>0.2068965517241379</v>
      </c>
      <c r="J6" s="48">
        <v>3200000</v>
      </c>
      <c r="K6" s="48">
        <f t="shared" si="1"/>
        <v>17.261904761904763</v>
      </c>
    </row>
    <row r="7" spans="1:11" ht="17.399999999999999" thickBot="1" x14ac:dyDescent="0.55000000000000004">
      <c r="A7" s="46">
        <v>1392</v>
      </c>
      <c r="B7" s="48">
        <v>206395</v>
      </c>
      <c r="C7" s="48">
        <v>175914</v>
      </c>
      <c r="D7" s="48">
        <f t="shared" si="0"/>
        <v>30481</v>
      </c>
      <c r="E7" s="56">
        <v>21244</v>
      </c>
      <c r="F7" s="48">
        <v>3800000</v>
      </c>
      <c r="G7" s="48">
        <v>16500</v>
      </c>
      <c r="H7" s="54">
        <f t="shared" si="2"/>
        <v>0.31034482758620685</v>
      </c>
      <c r="I7" s="54">
        <f t="shared" si="3"/>
        <v>0.1785714285714286</v>
      </c>
      <c r="J7" s="48">
        <v>4600000</v>
      </c>
      <c r="K7" s="48">
        <f t="shared" si="1"/>
        <v>19.19191919191919</v>
      </c>
    </row>
    <row r="8" spans="1:11" ht="17.399999999999999" thickBot="1" x14ac:dyDescent="0.55000000000000004">
      <c r="A8" s="46">
        <v>1393</v>
      </c>
      <c r="B8" s="48">
        <v>120408</v>
      </c>
      <c r="C8" s="48">
        <v>99768</v>
      </c>
      <c r="D8" s="48">
        <f t="shared" si="0"/>
        <v>20640</v>
      </c>
      <c r="E8" s="56">
        <v>10129</v>
      </c>
      <c r="F8" s="48">
        <v>3900000</v>
      </c>
      <c r="G8" s="48">
        <v>18000</v>
      </c>
      <c r="H8" s="54">
        <f t="shared" si="2"/>
        <v>2.6315789473684292E-2</v>
      </c>
      <c r="I8" s="54">
        <f t="shared" si="3"/>
        <v>9.0909090909090828E-2</v>
      </c>
      <c r="J8" s="48">
        <v>4300000</v>
      </c>
      <c r="K8" s="48">
        <f t="shared" si="1"/>
        <v>18.055555555555557</v>
      </c>
    </row>
    <row r="9" spans="1:11" ht="17.399999999999999" thickBot="1" x14ac:dyDescent="0.55000000000000004">
      <c r="A9" s="46">
        <v>1394</v>
      </c>
      <c r="B9" s="48">
        <v>119895</v>
      </c>
      <c r="C9" s="48">
        <v>99631</v>
      </c>
      <c r="D9" s="48">
        <f t="shared" si="0"/>
        <v>20264</v>
      </c>
      <c r="E9" s="56">
        <v>8034</v>
      </c>
      <c r="F9" s="48">
        <v>4000000</v>
      </c>
      <c r="G9" s="48">
        <v>20000</v>
      </c>
      <c r="H9" s="54">
        <f t="shared" si="2"/>
        <v>2.564102564102555E-2</v>
      </c>
      <c r="I9" s="54">
        <f t="shared" si="3"/>
        <v>0.11111111111111116</v>
      </c>
      <c r="J9" s="48">
        <v>4400000</v>
      </c>
      <c r="K9" s="48">
        <f t="shared" si="1"/>
        <v>16.666666666666668</v>
      </c>
    </row>
    <row r="10" spans="1:11" ht="17.399999999999999" thickBot="1" x14ac:dyDescent="0.55000000000000004">
      <c r="A10" s="46">
        <v>1395</v>
      </c>
      <c r="B10" s="48">
        <v>118390</v>
      </c>
      <c r="C10" s="48">
        <v>99496</v>
      </c>
      <c r="D10" s="48">
        <f t="shared" si="0"/>
        <v>18894</v>
      </c>
      <c r="E10" s="56">
        <v>8677</v>
      </c>
      <c r="F10" s="48">
        <v>4300000</v>
      </c>
      <c r="G10" s="48">
        <v>23000</v>
      </c>
      <c r="H10" s="54">
        <f t="shared" si="2"/>
        <v>7.4999999999999956E-2</v>
      </c>
      <c r="I10" s="54">
        <f t="shared" si="3"/>
        <v>0.14999999999999991</v>
      </c>
      <c r="J10" s="48">
        <v>4500000</v>
      </c>
      <c r="K10" s="48">
        <f t="shared" si="1"/>
        <v>15.579710144927537</v>
      </c>
    </row>
    <row r="11" spans="1:11" ht="17.399999999999999" thickBot="1" x14ac:dyDescent="0.55000000000000004">
      <c r="A11" s="46">
        <v>1396</v>
      </c>
      <c r="B11" s="49">
        <v>122081</v>
      </c>
      <c r="C11" s="50">
        <v>103328</v>
      </c>
      <c r="D11" s="48">
        <f t="shared" si="0"/>
        <v>18753</v>
      </c>
      <c r="E11" s="57">
        <v>9316</v>
      </c>
      <c r="F11" s="48">
        <v>5000000</v>
      </c>
      <c r="G11" s="48">
        <v>26000</v>
      </c>
      <c r="H11" s="54">
        <f t="shared" si="2"/>
        <v>0.16279069767441867</v>
      </c>
      <c r="I11" s="54">
        <f t="shared" si="3"/>
        <v>0.13043478260869557</v>
      </c>
      <c r="J11" s="48">
        <v>5300000</v>
      </c>
      <c r="K11" s="48">
        <f t="shared" si="1"/>
        <v>16.025641025641026</v>
      </c>
    </row>
    <row r="12" spans="1:11" ht="17.399999999999999" thickBot="1" x14ac:dyDescent="0.55000000000000004">
      <c r="A12" s="46">
        <v>1397</v>
      </c>
      <c r="B12" s="49">
        <v>142673</v>
      </c>
      <c r="C12" s="49">
        <v>121049</v>
      </c>
      <c r="D12" s="48">
        <f t="shared" si="0"/>
        <v>21624</v>
      </c>
      <c r="E12" s="56">
        <v>10954</v>
      </c>
      <c r="F12" s="48">
        <v>8500000</v>
      </c>
      <c r="G12" s="48">
        <v>33000</v>
      </c>
      <c r="H12" s="54">
        <f t="shared" si="2"/>
        <v>0.7</v>
      </c>
      <c r="I12" s="54">
        <f t="shared" si="3"/>
        <v>0.26923076923076916</v>
      </c>
      <c r="J12" s="48">
        <v>9700000</v>
      </c>
      <c r="K12" s="48">
        <f t="shared" si="1"/>
        <v>21.464646464646464</v>
      </c>
    </row>
    <row r="13" spans="1:11" ht="17.399999999999999" thickBot="1" x14ac:dyDescent="0.55000000000000004">
      <c r="A13" s="46">
        <v>1398</v>
      </c>
      <c r="B13" s="49">
        <v>150558</v>
      </c>
      <c r="C13" s="49">
        <v>128726</v>
      </c>
      <c r="D13" s="48">
        <f t="shared" si="0"/>
        <v>21832</v>
      </c>
      <c r="E13" s="56">
        <v>9013</v>
      </c>
      <c r="F13" s="48">
        <v>14000000</v>
      </c>
      <c r="G13" s="48">
        <v>45000</v>
      </c>
      <c r="H13" s="54">
        <f t="shared" si="2"/>
        <v>0.64705882352941169</v>
      </c>
      <c r="I13" s="54">
        <f t="shared" si="3"/>
        <v>0.36363636363636354</v>
      </c>
      <c r="J13" s="48">
        <v>19000000</v>
      </c>
      <c r="K13" s="48">
        <f t="shared" si="1"/>
        <v>25.925925925925927</v>
      </c>
    </row>
    <row r="14" spans="1:11" ht="17.399999999999999" thickBot="1" x14ac:dyDescent="0.55000000000000004">
      <c r="A14" s="46">
        <v>1399</v>
      </c>
      <c r="B14" s="49">
        <v>174264</v>
      </c>
      <c r="C14" s="49">
        <v>149099</v>
      </c>
      <c r="D14" s="48">
        <f t="shared" si="0"/>
        <v>25165</v>
      </c>
      <c r="E14" s="56">
        <v>6904</v>
      </c>
      <c r="F14" s="48">
        <v>26000000</v>
      </c>
      <c r="G14" s="48">
        <v>65000</v>
      </c>
      <c r="H14" s="54">
        <f t="shared" si="2"/>
        <v>0.85714285714285721</v>
      </c>
      <c r="I14" s="54">
        <f t="shared" si="3"/>
        <v>0.44444444444444442</v>
      </c>
      <c r="J14" s="48">
        <v>37000000</v>
      </c>
      <c r="K14" s="48">
        <f t="shared" si="1"/>
        <v>33.333333333333336</v>
      </c>
    </row>
  </sheetData>
  <mergeCells count="3">
    <mergeCell ref="E1:K1"/>
    <mergeCell ref="B1:D1"/>
    <mergeCell ref="A1:A2"/>
  </mergeCells>
  <pageMargins left="0.7" right="0.7" top="0.75" bottom="0.75" header="0.3" footer="0.3"/>
  <pageSetup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0"/>
  <sheetViews>
    <sheetView showGridLines="0" rightToLeft="1" topLeftCell="A34" workbookViewId="0">
      <selection activeCell="S40" sqref="S40"/>
    </sheetView>
  </sheetViews>
  <sheetFormatPr defaultRowHeight="14.4" x14ac:dyDescent="0.3"/>
  <cols>
    <col min="1" max="1" width="33" bestFit="1" customWidth="1"/>
    <col min="2" max="2" width="9.33203125" bestFit="1" customWidth="1"/>
    <col min="3" max="11" width="7.5546875" bestFit="1" customWidth="1"/>
    <col min="12" max="12" width="14.33203125" bestFit="1" customWidth="1"/>
  </cols>
  <sheetData>
    <row r="1" spans="1:12" ht="18.600000000000001" x14ac:dyDescent="0.3">
      <c r="A1" s="5" t="s">
        <v>116</v>
      </c>
      <c r="B1" s="44">
        <v>1390</v>
      </c>
      <c r="C1" s="44">
        <v>1391</v>
      </c>
      <c r="D1" s="44">
        <v>1392</v>
      </c>
      <c r="E1" s="44">
        <v>1393</v>
      </c>
      <c r="F1" s="44">
        <v>1394</v>
      </c>
      <c r="G1" s="44">
        <v>1395</v>
      </c>
      <c r="H1" s="44">
        <v>1396</v>
      </c>
      <c r="I1" s="44">
        <v>1397</v>
      </c>
      <c r="J1" s="44">
        <v>1398</v>
      </c>
      <c r="K1" s="44">
        <v>1399</v>
      </c>
      <c r="L1" s="44" t="s">
        <v>110</v>
      </c>
    </row>
    <row r="2" spans="1:12" ht="16.8" x14ac:dyDescent="0.3">
      <c r="A2" s="2" t="s">
        <v>123</v>
      </c>
      <c r="B2" s="1">
        <v>73.599999999999994</v>
      </c>
      <c r="C2" s="1">
        <v>74.599999999999994</v>
      </c>
      <c r="D2" s="1">
        <v>75.7</v>
      </c>
      <c r="E2" s="1">
        <v>78.599999999999994</v>
      </c>
      <c r="F2" s="1">
        <v>78.599999999999994</v>
      </c>
      <c r="G2" s="1">
        <v>79</v>
      </c>
      <c r="H2" s="1">
        <v>85.1</v>
      </c>
      <c r="I2" s="1">
        <v>87.7</v>
      </c>
      <c r="J2" s="1">
        <v>88.3</v>
      </c>
      <c r="K2" s="1">
        <v>88.6</v>
      </c>
      <c r="L2" s="1">
        <v>89</v>
      </c>
    </row>
    <row r="3" spans="1:12" ht="16.8" x14ac:dyDescent="0.3">
      <c r="A3" s="2" t="s">
        <v>117</v>
      </c>
      <c r="B3" s="1">
        <v>66.5</v>
      </c>
      <c r="C3" s="1">
        <v>70.2</v>
      </c>
      <c r="D3" s="1">
        <v>69.7</v>
      </c>
      <c r="E3" s="1">
        <v>66.5</v>
      </c>
      <c r="F3" s="1">
        <v>58.7</v>
      </c>
      <c r="G3" s="1">
        <v>55.2</v>
      </c>
      <c r="H3" s="1">
        <v>54.5</v>
      </c>
      <c r="I3" s="1">
        <v>55.2</v>
      </c>
      <c r="J3" s="1">
        <v>60.4</v>
      </c>
      <c r="K3" s="1">
        <v>68.3</v>
      </c>
      <c r="L3" s="1">
        <v>32.299999999999997</v>
      </c>
    </row>
    <row r="4" spans="1:12" ht="16.8" x14ac:dyDescent="0.3">
      <c r="A4" s="2" t="s">
        <v>118</v>
      </c>
      <c r="B4" s="1">
        <v>57</v>
      </c>
      <c r="C4" s="1">
        <v>57.6</v>
      </c>
      <c r="D4" s="1">
        <v>55.6</v>
      </c>
      <c r="E4" s="1">
        <v>54.5</v>
      </c>
      <c r="F4" s="1">
        <v>48.6</v>
      </c>
      <c r="G4" s="1">
        <v>47.7</v>
      </c>
      <c r="H4" s="1">
        <v>48.9</v>
      </c>
      <c r="I4" s="1">
        <v>49.1</v>
      </c>
      <c r="J4" s="1">
        <v>53.1</v>
      </c>
      <c r="K4" s="1">
        <v>63.7</v>
      </c>
      <c r="L4" s="1">
        <v>30</v>
      </c>
    </row>
    <row r="5" spans="1:12" ht="16.8" x14ac:dyDescent="0.3">
      <c r="A5" s="2" t="s">
        <v>173</v>
      </c>
      <c r="B5" s="1">
        <v>765</v>
      </c>
      <c r="C5" s="1">
        <v>762</v>
      </c>
      <c r="D5" s="1">
        <f>D4*1000/77.5</f>
        <v>717.41935483870964</v>
      </c>
      <c r="E5" s="1">
        <f>E4*1000/78.5</f>
        <v>694.26751592356686</v>
      </c>
      <c r="F5" s="1">
        <f>F4*1000/79.5</f>
        <v>611.32075471698113</v>
      </c>
      <c r="G5" s="1">
        <f>G4*1000/80.5</f>
        <v>592.54658385093171</v>
      </c>
      <c r="H5" s="1">
        <f>H4*1000/81.8</f>
        <v>597.799511002445</v>
      </c>
      <c r="I5" s="1">
        <f>I4*1000/82.9</f>
        <v>592.27985524728581</v>
      </c>
      <c r="J5" s="1">
        <f>J4*1000/83.9</f>
        <v>632.89630512514896</v>
      </c>
      <c r="K5" s="1">
        <f>K4*1000/84.9</f>
        <v>750.29446407538273</v>
      </c>
      <c r="L5" s="1">
        <f>L4*1000/84.8*2</f>
        <v>707.54716981132083</v>
      </c>
    </row>
    <row r="6" spans="1:12" ht="16.8" x14ac:dyDescent="0.3">
      <c r="A6" s="2" t="s">
        <v>119</v>
      </c>
      <c r="B6" s="43">
        <v>10.199999999999999</v>
      </c>
      <c r="C6" s="1">
        <v>13.7</v>
      </c>
      <c r="D6" s="1">
        <v>18.8</v>
      </c>
      <c r="E6" s="1">
        <v>17.600000000000001</v>
      </c>
      <c r="F6" s="1">
        <v>15.1</v>
      </c>
      <c r="G6" s="1">
        <v>13</v>
      </c>
      <c r="H6" s="1">
        <v>12</v>
      </c>
      <c r="I6" s="1">
        <v>12.3</v>
      </c>
      <c r="J6" s="1">
        <v>14.5</v>
      </c>
      <c r="K6" s="1">
        <v>13.9</v>
      </c>
      <c r="L6" s="1">
        <v>6.3</v>
      </c>
    </row>
    <row r="7" spans="1:12" ht="16.8" x14ac:dyDescent="0.3">
      <c r="A7" s="2" t="s">
        <v>120</v>
      </c>
      <c r="B7" s="13">
        <f>B3/B2</f>
        <v>0.90353260869565222</v>
      </c>
      <c r="C7" s="13">
        <f t="shared" ref="C7:K7" si="0">C3/C2</f>
        <v>0.94101876675603224</v>
      </c>
      <c r="D7" s="13">
        <f t="shared" si="0"/>
        <v>0.92073976221928666</v>
      </c>
      <c r="E7" s="13">
        <f t="shared" si="0"/>
        <v>0.846055979643766</v>
      </c>
      <c r="F7" s="13">
        <f t="shared" si="0"/>
        <v>0.7468193384223919</v>
      </c>
      <c r="G7" s="13">
        <f t="shared" si="0"/>
        <v>0.69873417721518993</v>
      </c>
      <c r="H7" s="13">
        <f t="shared" si="0"/>
        <v>0.64042303172737958</v>
      </c>
      <c r="I7" s="13">
        <f t="shared" si="0"/>
        <v>0.62941847206385404</v>
      </c>
      <c r="J7" s="13">
        <f t="shared" si="0"/>
        <v>0.68403171007927521</v>
      </c>
      <c r="K7" s="13">
        <f t="shared" si="0"/>
        <v>0.77088036117381487</v>
      </c>
      <c r="L7" s="13">
        <f>(L3*2)/L2</f>
        <v>0.72584269662921341</v>
      </c>
    </row>
    <row r="9" spans="1:12" ht="18.600000000000001" x14ac:dyDescent="0.3">
      <c r="A9" s="5" t="s">
        <v>121</v>
      </c>
      <c r="B9" s="44">
        <v>1995</v>
      </c>
      <c r="C9" s="44">
        <v>2000</v>
      </c>
      <c r="D9" s="44">
        <v>2005</v>
      </c>
      <c r="E9" s="44">
        <v>2010</v>
      </c>
      <c r="F9" s="44">
        <v>2011</v>
      </c>
      <c r="G9" s="44">
        <v>2012</v>
      </c>
      <c r="H9" s="44">
        <v>2013</v>
      </c>
      <c r="I9" s="44">
        <v>2016</v>
      </c>
      <c r="J9" s="44">
        <v>2018</v>
      </c>
      <c r="K9" s="44">
        <v>2019</v>
      </c>
      <c r="L9" s="44">
        <v>2020</v>
      </c>
    </row>
    <row r="10" spans="1:12" ht="16.8" x14ac:dyDescent="0.3">
      <c r="A10" s="2" t="s">
        <v>122</v>
      </c>
      <c r="B10" s="43">
        <v>1.4</v>
      </c>
      <c r="C10" s="43">
        <v>1.6</v>
      </c>
      <c r="D10" s="43">
        <v>2.2999999999999998</v>
      </c>
      <c r="E10" s="43">
        <v>3.31</v>
      </c>
      <c r="F10" s="43">
        <v>3.6</v>
      </c>
      <c r="G10" s="43">
        <v>3.7</v>
      </c>
      <c r="H10" s="43">
        <v>4.08</v>
      </c>
      <c r="I10" s="43">
        <v>4.2</v>
      </c>
      <c r="J10" s="43">
        <v>4.0999999999999996</v>
      </c>
      <c r="K10" s="43">
        <v>4.2</v>
      </c>
      <c r="L10" s="43">
        <v>4.0999999999999996</v>
      </c>
    </row>
    <row r="11" spans="1:12" ht="16.8" x14ac:dyDescent="0.3">
      <c r="A11" s="2" t="s">
        <v>172</v>
      </c>
      <c r="B11" s="1"/>
      <c r="C11" s="1"/>
      <c r="D11" s="1"/>
      <c r="E11" s="1">
        <v>516</v>
      </c>
      <c r="F11" s="1">
        <v>531</v>
      </c>
      <c r="G11" s="1">
        <v>558</v>
      </c>
      <c r="H11" s="1">
        <v>566</v>
      </c>
      <c r="I11" s="1">
        <v>557</v>
      </c>
      <c r="J11" s="1">
        <v>550</v>
      </c>
      <c r="K11" s="1">
        <v>520</v>
      </c>
      <c r="L11" s="1">
        <v>502</v>
      </c>
    </row>
    <row r="12" spans="1:12" ht="16.8" x14ac:dyDescent="0.3">
      <c r="A12" s="2"/>
      <c r="B12" s="1"/>
      <c r="C12" s="1"/>
      <c r="D12" s="1"/>
      <c r="E12" s="1"/>
      <c r="F12" s="1"/>
      <c r="G12" s="1"/>
      <c r="H12" s="1"/>
      <c r="I12" s="1"/>
      <c r="J12" s="1"/>
      <c r="K12" s="1"/>
      <c r="L12" s="1"/>
    </row>
    <row r="13" spans="1:12" ht="16.8" x14ac:dyDescent="0.3">
      <c r="A13" s="2" t="s">
        <v>174</v>
      </c>
      <c r="B13" s="1" t="s">
        <v>176</v>
      </c>
      <c r="C13" s="1" t="s">
        <v>182</v>
      </c>
      <c r="D13" s="1"/>
      <c r="E13" s="1"/>
      <c r="F13" s="1"/>
      <c r="G13" s="1"/>
      <c r="H13" s="1"/>
      <c r="I13" s="1"/>
      <c r="J13" s="1"/>
      <c r="K13" s="1"/>
      <c r="L13" s="1"/>
    </row>
    <row r="14" spans="1:12" ht="16.8" x14ac:dyDescent="0.3">
      <c r="A14" s="2" t="s">
        <v>175</v>
      </c>
      <c r="B14" s="1">
        <v>2200</v>
      </c>
      <c r="C14" s="13">
        <f>B14/4100</f>
        <v>0.53658536585365857</v>
      </c>
      <c r="D14" s="1"/>
      <c r="E14" s="1"/>
      <c r="F14" s="1"/>
      <c r="G14" s="1"/>
      <c r="H14" s="1"/>
      <c r="I14" s="1"/>
      <c r="J14" s="1"/>
      <c r="K14" s="1"/>
      <c r="L14" s="1"/>
    </row>
    <row r="15" spans="1:12" ht="16.8" x14ac:dyDescent="0.3">
      <c r="A15" s="2" t="s">
        <v>177</v>
      </c>
      <c r="B15" s="1">
        <v>340</v>
      </c>
      <c r="C15" s="13">
        <f t="shared" ref="C15:C20" si="1">B15/4100</f>
        <v>8.2926829268292687E-2</v>
      </c>
      <c r="D15" s="1"/>
      <c r="E15" s="1"/>
      <c r="F15" s="1"/>
      <c r="G15" s="1"/>
      <c r="H15" s="1"/>
      <c r="I15" s="1"/>
      <c r="J15" s="1"/>
      <c r="K15" s="1"/>
      <c r="L15" s="1"/>
    </row>
    <row r="16" spans="1:12" ht="16.8" x14ac:dyDescent="0.3">
      <c r="A16" s="2" t="s">
        <v>178</v>
      </c>
      <c r="B16" s="1">
        <v>96</v>
      </c>
      <c r="C16" s="13">
        <f t="shared" si="1"/>
        <v>2.3414634146341463E-2</v>
      </c>
      <c r="D16" s="1"/>
      <c r="E16" s="1"/>
      <c r="F16" s="1"/>
      <c r="G16" s="1"/>
      <c r="H16" s="1"/>
      <c r="I16" s="1"/>
      <c r="J16" s="1"/>
      <c r="K16" s="1"/>
      <c r="L16" s="1"/>
    </row>
    <row r="17" spans="1:12" ht="16.8" x14ac:dyDescent="0.3">
      <c r="A17" s="2" t="s">
        <v>179</v>
      </c>
      <c r="B17" s="1">
        <v>90</v>
      </c>
      <c r="C17" s="13">
        <f t="shared" si="1"/>
        <v>2.1951219512195121E-2</v>
      </c>
      <c r="D17" s="1"/>
      <c r="E17" s="1"/>
      <c r="F17" s="1"/>
      <c r="G17" s="1"/>
      <c r="H17" s="1"/>
      <c r="I17" s="1"/>
      <c r="J17" s="1"/>
      <c r="K17" s="1"/>
      <c r="L17" s="1"/>
    </row>
    <row r="18" spans="1:12" ht="16.8" x14ac:dyDescent="0.3">
      <c r="A18" s="2" t="s">
        <v>180</v>
      </c>
      <c r="B18" s="1">
        <v>73</v>
      </c>
      <c r="C18" s="13">
        <f t="shared" si="1"/>
        <v>1.7804878048780486E-2</v>
      </c>
      <c r="D18" s="1"/>
      <c r="E18" s="1"/>
      <c r="F18" s="1"/>
      <c r="G18" s="1"/>
      <c r="H18" s="1"/>
      <c r="I18" s="1"/>
      <c r="J18" s="1"/>
      <c r="K18" s="1"/>
      <c r="L18" s="1"/>
    </row>
    <row r="19" spans="1:12" ht="16.8" x14ac:dyDescent="0.3">
      <c r="A19" s="2" t="s">
        <v>181</v>
      </c>
      <c r="B19" s="1">
        <v>67</v>
      </c>
      <c r="C19" s="13">
        <f t="shared" si="1"/>
        <v>1.6341463414634147E-2</v>
      </c>
      <c r="D19" s="1"/>
      <c r="E19" s="1"/>
      <c r="F19" s="1"/>
      <c r="G19" s="1"/>
      <c r="H19" s="1"/>
      <c r="I19" s="1"/>
      <c r="J19" s="1"/>
      <c r="K19" s="1"/>
      <c r="L19" s="1"/>
    </row>
    <row r="20" spans="1:12" ht="16.8" x14ac:dyDescent="0.3">
      <c r="A20" s="2" t="s">
        <v>10</v>
      </c>
      <c r="B20" s="1">
        <f>4100-B14-B15-B16-B17-B18-B19</f>
        <v>1234</v>
      </c>
      <c r="C20" s="13">
        <f t="shared" si="1"/>
        <v>0.30097560975609755</v>
      </c>
    </row>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0"/>
  <sheetViews>
    <sheetView showGridLines="0" rightToLeft="1" workbookViewId="0">
      <selection activeCell="O17" sqref="O17"/>
    </sheetView>
  </sheetViews>
  <sheetFormatPr defaultRowHeight="14.4" x14ac:dyDescent="0.3"/>
  <cols>
    <col min="1" max="1" width="28.44140625" bestFit="1" customWidth="1"/>
    <col min="2" max="2" width="9.33203125" bestFit="1" customWidth="1"/>
    <col min="12" max="12" width="10.109375" bestFit="1" customWidth="1"/>
    <col min="13" max="13" width="9.77734375" bestFit="1" customWidth="1"/>
  </cols>
  <sheetData>
    <row r="1" spans="1:11" ht="18.600000000000001" x14ac:dyDescent="0.3">
      <c r="A1" s="44" t="s">
        <v>136</v>
      </c>
      <c r="B1" s="44">
        <v>1390</v>
      </c>
      <c r="C1" s="44">
        <v>1391</v>
      </c>
      <c r="D1" s="44">
        <v>1392</v>
      </c>
      <c r="E1" s="44">
        <v>1393</v>
      </c>
      <c r="F1" s="44">
        <v>1394</v>
      </c>
      <c r="G1" s="44">
        <v>1395</v>
      </c>
      <c r="H1" s="44">
        <v>1396</v>
      </c>
      <c r="I1" s="44">
        <v>1397</v>
      </c>
      <c r="J1" s="44">
        <v>1398</v>
      </c>
      <c r="K1" s="44">
        <v>1399</v>
      </c>
    </row>
    <row r="2" spans="1:11" ht="16.8" x14ac:dyDescent="0.3">
      <c r="A2" s="55" t="s">
        <v>138</v>
      </c>
      <c r="B2" s="1">
        <v>66.5</v>
      </c>
      <c r="C2" s="1">
        <v>70.2</v>
      </c>
      <c r="D2" s="1">
        <v>69.7</v>
      </c>
      <c r="E2" s="1">
        <v>66.5</v>
      </c>
      <c r="F2" s="1">
        <v>58.7</v>
      </c>
      <c r="G2" s="1">
        <v>55.2</v>
      </c>
      <c r="H2" s="1">
        <v>54.5</v>
      </c>
      <c r="I2" s="1">
        <v>55.2</v>
      </c>
      <c r="J2" s="1">
        <v>60.4</v>
      </c>
      <c r="K2" s="1">
        <v>68.3</v>
      </c>
    </row>
    <row r="3" spans="1:11" ht="16.8" x14ac:dyDescent="0.3">
      <c r="A3" s="55" t="s">
        <v>118</v>
      </c>
      <c r="B3" s="1">
        <v>57</v>
      </c>
      <c r="C3" s="1">
        <v>57.6</v>
      </c>
      <c r="D3" s="1">
        <v>55.6</v>
      </c>
      <c r="E3" s="1">
        <v>54.5</v>
      </c>
      <c r="F3" s="1">
        <v>48.6</v>
      </c>
      <c r="G3" s="1">
        <v>47.7</v>
      </c>
      <c r="H3" s="1">
        <v>48.9</v>
      </c>
      <c r="I3" s="1">
        <v>49.1</v>
      </c>
      <c r="J3" s="1">
        <v>53.1</v>
      </c>
      <c r="K3" s="1">
        <v>63.7</v>
      </c>
    </row>
    <row r="4" spans="1:11" ht="16.8" x14ac:dyDescent="0.3">
      <c r="A4" s="55" t="s">
        <v>137</v>
      </c>
      <c r="B4" s="1">
        <v>183385</v>
      </c>
      <c r="C4" s="1">
        <v>206372</v>
      </c>
      <c r="D4" s="1">
        <v>206395</v>
      </c>
      <c r="E4" s="1">
        <v>120408</v>
      </c>
      <c r="F4" s="1">
        <v>119895</v>
      </c>
      <c r="G4" s="1">
        <v>118390</v>
      </c>
      <c r="H4" s="1">
        <v>122081</v>
      </c>
      <c r="I4" s="1">
        <v>142673</v>
      </c>
      <c r="J4" s="1">
        <v>150558</v>
      </c>
      <c r="K4" s="1">
        <v>174264</v>
      </c>
    </row>
    <row r="26" spans="1:13" ht="18.600000000000001" x14ac:dyDescent="0.3">
      <c r="A26" s="44" t="s">
        <v>136</v>
      </c>
      <c r="B26" s="44">
        <v>1390</v>
      </c>
      <c r="C26" s="44">
        <v>1391</v>
      </c>
      <c r="D26" s="44">
        <v>1392</v>
      </c>
      <c r="E26" s="44">
        <v>1393</v>
      </c>
      <c r="F26" s="44">
        <v>1394</v>
      </c>
      <c r="G26" s="44">
        <v>1395</v>
      </c>
      <c r="H26" s="44">
        <v>1396</v>
      </c>
      <c r="I26" s="44">
        <v>1397</v>
      </c>
      <c r="J26" s="44">
        <v>1398</v>
      </c>
      <c r="K26" s="44">
        <v>1399</v>
      </c>
      <c r="L26" s="44" t="s">
        <v>20</v>
      </c>
      <c r="M26" s="44" t="s">
        <v>31</v>
      </c>
    </row>
    <row r="27" spans="1:13" ht="16.8" x14ac:dyDescent="0.3">
      <c r="A27" s="55" t="s">
        <v>96</v>
      </c>
      <c r="B27" s="13">
        <v>0.27165930483780515</v>
      </c>
      <c r="C27" s="13">
        <v>0.36298058754116569</v>
      </c>
      <c r="D27" s="13">
        <v>0.40214444912957048</v>
      </c>
      <c r="E27" s="13">
        <v>0.38221889793514569</v>
      </c>
      <c r="F27" s="13">
        <v>0.25013368560583782</v>
      </c>
      <c r="G27" s="13">
        <v>0.21917669717123742</v>
      </c>
      <c r="H27" s="13">
        <v>0.34601730697728905</v>
      </c>
      <c r="I27" s="13">
        <v>0.3424686448311301</v>
      </c>
      <c r="J27" s="13">
        <v>0.41801053538592736</v>
      </c>
      <c r="K27" s="13">
        <v>0.51403984746514231</v>
      </c>
      <c r="L27" s="13">
        <f>'سود و زیان'!J16</f>
        <v>0.55834739608471828</v>
      </c>
      <c r="M27" s="13">
        <f>'سود و زیان'!K16</f>
        <v>0.51117765192307696</v>
      </c>
    </row>
    <row r="28" spans="1:13" ht="16.8" x14ac:dyDescent="0.3">
      <c r="A28" s="55" t="s">
        <v>141</v>
      </c>
      <c r="B28" s="13">
        <v>9.0767216513732776E-2</v>
      </c>
      <c r="C28" s="13">
        <v>7.2463153348398493E-2</v>
      </c>
      <c r="D28" s="13">
        <v>7.2932637611055479E-2</v>
      </c>
      <c r="E28" s="13">
        <v>8.9869266354068791E-2</v>
      </c>
      <c r="F28" s="13">
        <v>8.3831506372121015E-2</v>
      </c>
      <c r="G28" s="13">
        <v>9.7631066492730609E-2</v>
      </c>
      <c r="H28" s="13">
        <v>7.5793879182950011E-2</v>
      </c>
      <c r="I28" s="13">
        <v>8.3472480591897158E-2</v>
      </c>
      <c r="J28" s="13">
        <v>8.3760759684826741E-2</v>
      </c>
      <c r="K28" s="13">
        <v>7.7740039571810832E-2</v>
      </c>
      <c r="L28" s="13">
        <f>'ساختار بهای تمام شده'!H2/'سود و زیان'!J2</f>
        <v>7.1999999999999995E-2</v>
      </c>
      <c r="M28" s="13">
        <f>'ساختار بهای تمام شده'!I2/'سود و زیان'!K2</f>
        <v>7.4999999999999997E-2</v>
      </c>
    </row>
    <row r="29" spans="1:13" ht="16.8" x14ac:dyDescent="0.3">
      <c r="A29" s="55" t="s">
        <v>142</v>
      </c>
      <c r="B29" s="13">
        <v>9.7379457034400627E-3</v>
      </c>
      <c r="C29" s="13">
        <v>7.8012324636161003E-3</v>
      </c>
      <c r="D29" s="13">
        <v>5.4781878336494843E-3</v>
      </c>
      <c r="E29" s="13">
        <v>7.4532339493879165E-3</v>
      </c>
      <c r="F29" s="13">
        <v>1.3448183821101063E-2</v>
      </c>
      <c r="G29" s="13">
        <v>1.5880296480425205E-2</v>
      </c>
      <c r="H29" s="13">
        <v>1.5737518363105999E-2</v>
      </c>
      <c r="I29" s="13">
        <v>1.6478367108880575E-2</v>
      </c>
      <c r="J29" s="13">
        <v>1.8084709477405772E-2</v>
      </c>
      <c r="K29" s="13">
        <v>1.2633159097409287E-2</v>
      </c>
      <c r="L29" s="13">
        <f>'ساختار بهای تمام شده'!H3/'سود و زیان'!J2</f>
        <v>9.6041594755147362E-3</v>
      </c>
      <c r="M29" s="13">
        <f>'ساختار بهای تمام شده'!I3/'سود و زیان'!K2</f>
        <v>9.0115000000000004E-3</v>
      </c>
    </row>
    <row r="30" spans="1:13" ht="16.8" x14ac:dyDescent="0.3">
      <c r="A30" s="55" t="s">
        <v>143</v>
      </c>
      <c r="B30" s="13">
        <v>0.66251544420091202</v>
      </c>
      <c r="C30" s="13">
        <v>0.44871162048141666</v>
      </c>
      <c r="D30" s="13">
        <v>0.40985425974566209</v>
      </c>
      <c r="E30" s="13">
        <v>0.48281142525748866</v>
      </c>
      <c r="F30" s="13">
        <v>0.68141476015761782</v>
      </c>
      <c r="G30" s="13">
        <v>0.69357414764343761</v>
      </c>
      <c r="H30" s="13">
        <v>0.54940812407820661</v>
      </c>
      <c r="I30" s="13">
        <v>0.57808983347012877</v>
      </c>
      <c r="J30" s="13">
        <v>0.49969175557194001</v>
      </c>
      <c r="K30" s="13">
        <v>0.3957215596880182</v>
      </c>
      <c r="L30" s="13">
        <f>'ساختار بهای تمام شده'!H4/'سود و زیان'!J2</f>
        <v>0.37155473159923269</v>
      </c>
      <c r="M30" s="13">
        <f>'ساختار بهای تمام شده'!I4/'سود و زیان'!K2</f>
        <v>0.40481084807692308</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rightToLeft="1" topLeftCell="A31" workbookViewId="0">
      <selection activeCell="Q46" sqref="Q46"/>
    </sheetView>
  </sheetViews>
  <sheetFormatPr defaultRowHeight="14.4" x14ac:dyDescent="0.3"/>
  <cols>
    <col min="1" max="1" width="9.44140625" customWidth="1"/>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43:A47"/>
  <sheetViews>
    <sheetView showGridLines="0" rightToLeft="1" topLeftCell="A34" workbookViewId="0">
      <selection activeCell="N49" sqref="N49"/>
    </sheetView>
  </sheetViews>
  <sheetFormatPr defaultColWidth="9.109375" defaultRowHeight="16.8" x14ac:dyDescent="0.5"/>
  <cols>
    <col min="1" max="1" width="74.33203125" style="10" bestFit="1" customWidth="1"/>
    <col min="2" max="16384" width="9.109375" style="10"/>
  </cols>
  <sheetData>
    <row r="43" spans="1:1" x14ac:dyDescent="0.5">
      <c r="A43" s="10" t="s">
        <v>167</v>
      </c>
    </row>
    <row r="44" spans="1:1" x14ac:dyDescent="0.5">
      <c r="A44" s="10" t="s">
        <v>168</v>
      </c>
    </row>
    <row r="45" spans="1:1" x14ac:dyDescent="0.5">
      <c r="A45" s="10" t="s">
        <v>169</v>
      </c>
    </row>
    <row r="46" spans="1:1" ht="33.6" x14ac:dyDescent="0.5">
      <c r="A46" s="60" t="s">
        <v>170</v>
      </c>
    </row>
    <row r="47" spans="1:1" x14ac:dyDescent="0.5">
      <c r="A47" s="10" t="s">
        <v>171</v>
      </c>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7"/>
  <sheetViews>
    <sheetView showGridLines="0" rightToLeft="1" workbookViewId="0">
      <selection activeCell="L14" sqref="L14"/>
    </sheetView>
  </sheetViews>
  <sheetFormatPr defaultColWidth="9.109375" defaultRowHeight="16.8" x14ac:dyDescent="0.5"/>
  <cols>
    <col min="1" max="1" width="9.109375" style="14"/>
    <col min="2" max="2" width="48.6640625" style="14" bestFit="1" customWidth="1"/>
    <col min="3" max="3" width="12.5546875" style="15" customWidth="1"/>
    <col min="4" max="4" width="15.33203125" style="15" bestFit="1" customWidth="1"/>
    <col min="5" max="5" width="12.5546875" style="15" customWidth="1"/>
    <col min="6" max="6" width="9.109375" style="14"/>
    <col min="7" max="7" width="16" style="14" bestFit="1" customWidth="1"/>
    <col min="8" max="16384" width="9.109375" style="14"/>
  </cols>
  <sheetData>
    <row r="1" spans="2:14" x14ac:dyDescent="0.5">
      <c r="B1" s="41" t="s">
        <v>100</v>
      </c>
      <c r="C1" s="42" t="s">
        <v>31</v>
      </c>
      <c r="D1" s="23"/>
      <c r="E1" s="23"/>
      <c r="G1" s="62" t="s">
        <v>183</v>
      </c>
      <c r="H1" s="62"/>
      <c r="I1" s="62"/>
      <c r="J1" s="62"/>
      <c r="K1" s="62"/>
      <c r="L1" s="62"/>
      <c r="M1" s="62"/>
      <c r="N1" s="62"/>
    </row>
    <row r="2" spans="2:14" x14ac:dyDescent="0.5">
      <c r="B2" s="14" t="s">
        <v>28</v>
      </c>
      <c r="C2" s="15">
        <v>1600000</v>
      </c>
      <c r="G2" s="22">
        <f>'سود و زیان'!K13</f>
        <v>6374.7551760000006</v>
      </c>
      <c r="H2" s="22">
        <v>480</v>
      </c>
      <c r="I2" s="22">
        <v>520</v>
      </c>
      <c r="J2" s="22">
        <v>560</v>
      </c>
      <c r="K2" s="22">
        <v>600</v>
      </c>
      <c r="L2" s="22">
        <v>650</v>
      </c>
      <c r="M2" s="22">
        <v>700</v>
      </c>
      <c r="N2" s="22">
        <v>800</v>
      </c>
    </row>
    <row r="3" spans="2:14" x14ac:dyDescent="0.5">
      <c r="B3" s="14" t="s">
        <v>32</v>
      </c>
      <c r="C3" s="16">
        <v>1.05</v>
      </c>
      <c r="D3" s="16"/>
      <c r="E3" s="16"/>
      <c r="G3" s="22">
        <v>1400000</v>
      </c>
      <c r="H3" s="20">
        <f t="dataTable" ref="H3:N7" dt2D="1" dtr="1" r1="C7" r2="C2"/>
        <v>2517.4751759999999</v>
      </c>
      <c r="I3" s="20">
        <v>3139.0751759999998</v>
      </c>
      <c r="J3" s="20">
        <v>3760.6751759999997</v>
      </c>
      <c r="K3" s="20">
        <v>4382.2751760000001</v>
      </c>
      <c r="L3" s="20">
        <v>5159.2751760000001</v>
      </c>
      <c r="M3" s="20">
        <v>5936.2751760000001</v>
      </c>
      <c r="N3" s="20">
        <v>7490.2751760000001</v>
      </c>
    </row>
    <row r="4" spans="2:14" x14ac:dyDescent="0.5">
      <c r="B4" s="14" t="s">
        <v>29</v>
      </c>
      <c r="C4" s="15">
        <v>620</v>
      </c>
      <c r="G4" s="22">
        <v>1500000</v>
      </c>
      <c r="H4" s="20">
        <v>2936.5151759999999</v>
      </c>
      <c r="I4" s="20">
        <v>3602.5151759999999</v>
      </c>
      <c r="J4" s="20">
        <v>4268.5151759999999</v>
      </c>
      <c r="K4" s="20">
        <v>4934.5151759999999</v>
      </c>
      <c r="L4" s="20">
        <v>5767.0151760000008</v>
      </c>
      <c r="M4" s="20">
        <v>6599.5151760000008</v>
      </c>
      <c r="N4" s="20">
        <v>8264.5151760000008</v>
      </c>
    </row>
    <row r="5" spans="2:14" x14ac:dyDescent="0.5">
      <c r="B5" s="14" t="s">
        <v>30</v>
      </c>
      <c r="C5" s="37">
        <f>(C7*10000)/(C4*C6)</f>
        <v>4.0322580645161289E-2</v>
      </c>
      <c r="D5" s="37" t="s">
        <v>160</v>
      </c>
      <c r="E5" s="37"/>
      <c r="G5" s="22">
        <v>1600000</v>
      </c>
      <c r="H5" s="20">
        <v>3355.5551759999998</v>
      </c>
      <c r="I5" s="20">
        <v>4065.9551760000004</v>
      </c>
      <c r="J5" s="20">
        <v>4776.355176</v>
      </c>
      <c r="K5" s="20">
        <v>5486.7551760000006</v>
      </c>
      <c r="L5" s="20">
        <v>6374.7551760000006</v>
      </c>
      <c r="M5" s="20">
        <v>7262.7551760000006</v>
      </c>
      <c r="N5" s="20">
        <v>9038.7551760000006</v>
      </c>
    </row>
    <row r="6" spans="2:14" x14ac:dyDescent="0.5">
      <c r="B6" s="14" t="s">
        <v>24</v>
      </c>
      <c r="C6" s="15">
        <v>260000</v>
      </c>
      <c r="G6" s="22">
        <v>1700000</v>
      </c>
      <c r="H6" s="20">
        <v>3774.5951759999998</v>
      </c>
      <c r="I6" s="20">
        <v>4529.395176</v>
      </c>
      <c r="J6" s="20">
        <v>5284.1951760000002</v>
      </c>
      <c r="K6" s="20">
        <v>6038.9951760000004</v>
      </c>
      <c r="L6" s="20">
        <v>6982.4951760000004</v>
      </c>
      <c r="M6" s="20">
        <v>7925.9951760000004</v>
      </c>
      <c r="N6" s="20">
        <v>9812.9951760000004</v>
      </c>
    </row>
    <row r="7" spans="2:14" x14ac:dyDescent="0.5">
      <c r="B7" s="14" t="s">
        <v>115</v>
      </c>
      <c r="C7" s="15">
        <v>650</v>
      </c>
      <c r="G7" s="22">
        <v>1800000</v>
      </c>
      <c r="H7" s="20">
        <v>4193.6351760000007</v>
      </c>
      <c r="I7" s="15">
        <v>4992.8351759999996</v>
      </c>
      <c r="J7" s="15">
        <v>5792.0351760000003</v>
      </c>
      <c r="K7" s="15">
        <v>6591.2351760000001</v>
      </c>
      <c r="L7" s="15">
        <v>7590.2351760000001</v>
      </c>
      <c r="M7" s="15">
        <v>8589.2351760000001</v>
      </c>
      <c r="N7" s="15">
        <v>10587.235176</v>
      </c>
    </row>
    <row r="8" spans="2:14" x14ac:dyDescent="0.5">
      <c r="B8" s="14" t="s">
        <v>103</v>
      </c>
      <c r="C8" s="23">
        <v>0.3</v>
      </c>
      <c r="D8" s="23"/>
      <c r="E8" s="23"/>
      <c r="G8" s="40"/>
      <c r="H8" s="20"/>
      <c r="I8" s="20"/>
      <c r="J8" s="20"/>
      <c r="K8" s="20"/>
      <c r="L8" s="20"/>
      <c r="M8" s="20"/>
      <c r="N8" s="20"/>
    </row>
    <row r="9" spans="2:14" x14ac:dyDescent="0.5">
      <c r="B9" s="14" t="s">
        <v>112</v>
      </c>
      <c r="C9" s="15">
        <v>150</v>
      </c>
      <c r="G9" s="40"/>
      <c r="H9" s="20"/>
      <c r="I9" s="20"/>
      <c r="J9" s="20"/>
      <c r="K9" s="20"/>
      <c r="L9" s="20"/>
      <c r="M9" s="20"/>
      <c r="N9" s="20"/>
    </row>
    <row r="10" spans="2:14" x14ac:dyDescent="0.5">
      <c r="B10" s="14" t="s">
        <v>187</v>
      </c>
      <c r="C10" s="59">
        <f>0.11*1000</f>
        <v>110</v>
      </c>
      <c r="D10" s="16"/>
      <c r="E10" s="16"/>
      <c r="G10" s="62" t="s">
        <v>185</v>
      </c>
      <c r="H10" s="62"/>
      <c r="I10" s="62"/>
      <c r="J10" s="62"/>
      <c r="K10" s="62"/>
      <c r="L10" s="62"/>
      <c r="M10" s="62"/>
      <c r="N10" s="62"/>
    </row>
    <row r="11" spans="2:14" x14ac:dyDescent="0.5">
      <c r="B11" s="14" t="s">
        <v>113</v>
      </c>
      <c r="C11" s="15">
        <f>50000*0.1</f>
        <v>5000</v>
      </c>
      <c r="G11" s="22">
        <f>G2</f>
        <v>6374.7551760000006</v>
      </c>
      <c r="H11" s="22">
        <v>480</v>
      </c>
      <c r="I11" s="22">
        <v>520</v>
      </c>
      <c r="J11" s="22">
        <v>560</v>
      </c>
      <c r="K11" s="22">
        <v>600</v>
      </c>
      <c r="L11" s="22">
        <v>650</v>
      </c>
      <c r="M11" s="22">
        <v>700</v>
      </c>
      <c r="N11" s="22">
        <v>800</v>
      </c>
    </row>
    <row r="12" spans="2:14" x14ac:dyDescent="0.5">
      <c r="B12" s="14" t="s">
        <v>188</v>
      </c>
      <c r="C12" s="15">
        <v>1800</v>
      </c>
      <c r="G12" s="22">
        <v>1400000</v>
      </c>
      <c r="H12" s="40">
        <f>E17/H3</f>
        <v>17.716162774984998</v>
      </c>
      <c r="I12" s="40">
        <f>E17/I3</f>
        <v>14.208006339253087</v>
      </c>
      <c r="J12" s="40">
        <f>E17/J3</f>
        <v>11.859572526930734</v>
      </c>
      <c r="K12" s="40">
        <f>E17/K3</f>
        <v>10.177361806090289</v>
      </c>
      <c r="L12" s="40">
        <f>E17/L3</f>
        <v>8.644625161199194</v>
      </c>
      <c r="M12" s="40">
        <f>E17/M3</f>
        <v>7.5131288017636191</v>
      </c>
      <c r="N12" s="40">
        <f>E17/N3</f>
        <v>5.9543873825764502</v>
      </c>
    </row>
    <row r="13" spans="2:14" x14ac:dyDescent="0.5">
      <c r="B13" s="14" t="s">
        <v>114</v>
      </c>
      <c r="C13" s="15">
        <v>50000</v>
      </c>
      <c r="G13" s="22">
        <v>1500000</v>
      </c>
      <c r="H13" s="40">
        <f>E17/H4</f>
        <v>15.188070664341767</v>
      </c>
      <c r="I13" s="40">
        <f>E17/I4</f>
        <v>12.380239310891941</v>
      </c>
      <c r="J13" s="40">
        <f>E17/J4</f>
        <v>10.448598203601655</v>
      </c>
      <c r="K13" s="40">
        <f>E17/K4</f>
        <v>9.0383752829297208</v>
      </c>
      <c r="L13" s="40">
        <f>E17/L4</f>
        <v>7.7336366627934803</v>
      </c>
      <c r="M13" s="40">
        <f>E17/M4</f>
        <v>6.7580721932716701</v>
      </c>
      <c r="N13" s="40">
        <f>E17/N4</f>
        <v>5.3965658057616706</v>
      </c>
    </row>
    <row r="14" spans="2:14" x14ac:dyDescent="0.5">
      <c r="G14" s="22">
        <v>1600000</v>
      </c>
      <c r="H14" s="40">
        <f>E17/H5</f>
        <v>13.291392231900526</v>
      </c>
      <c r="I14" s="40">
        <f>E17/I5</f>
        <v>10.969132238166118</v>
      </c>
      <c r="J14" s="40">
        <f>E17/J5</f>
        <v>9.337664046447788</v>
      </c>
      <c r="K14" s="40">
        <f>E17/K5</f>
        <v>8.1286659545313729</v>
      </c>
      <c r="L14" s="40">
        <f>E17/L5</f>
        <v>6.9963471174410472</v>
      </c>
      <c r="M14" s="40">
        <f>E17/M5</f>
        <v>6.1409202044125184</v>
      </c>
      <c r="N14" s="40">
        <f>E17/N5</f>
        <v>4.9343077814988714</v>
      </c>
    </row>
    <row r="15" spans="2:14" x14ac:dyDescent="0.5">
      <c r="E15" s="15" t="s">
        <v>186</v>
      </c>
      <c r="G15" s="22">
        <v>1700000</v>
      </c>
      <c r="H15" s="40">
        <f>E17/H6</f>
        <v>11.815836644835473</v>
      </c>
      <c r="I15" s="40">
        <f>E17/I6</f>
        <v>9.8467893100436328</v>
      </c>
      <c r="J15" s="40">
        <f>E17/J6</f>
        <v>8.440263562285951</v>
      </c>
      <c r="K15" s="40">
        <f>E17/K6</f>
        <v>7.385334596266615</v>
      </c>
      <c r="L15" s="40">
        <f>E17/L6</f>
        <v>6.3874014769530572</v>
      </c>
      <c r="M15" s="40">
        <f>E17/M6</f>
        <v>5.627053639276653</v>
      </c>
      <c r="N15" s="40">
        <f>E17/N6</f>
        <v>4.5449935723070407</v>
      </c>
    </row>
    <row r="16" spans="2:14" x14ac:dyDescent="0.5">
      <c r="E16" s="42" t="s">
        <v>184</v>
      </c>
      <c r="G16" s="22">
        <v>1800000</v>
      </c>
      <c r="H16" s="40">
        <f>E17/H7</f>
        <v>10.635164511983289</v>
      </c>
      <c r="I16" s="40">
        <f>E17/I7</f>
        <v>8.9328003885221801</v>
      </c>
      <c r="J16" s="40">
        <f>E17/J7</f>
        <v>7.7002294780262224</v>
      </c>
      <c r="K16" s="40">
        <f>E17/K7</f>
        <v>6.7665617762202572</v>
      </c>
      <c r="L16" s="40">
        <f>E17/L7</f>
        <v>5.8759707658365183</v>
      </c>
      <c r="M16" s="40">
        <f>E17/M7</f>
        <v>5.1925461448093895</v>
      </c>
      <c r="N16" s="40">
        <f>E17/N7</f>
        <v>4.2126201277839641</v>
      </c>
    </row>
    <row r="17" spans="5:5" x14ac:dyDescent="0.5">
      <c r="E17" s="15">
        <v>44600</v>
      </c>
    </row>
  </sheetData>
  <mergeCells count="2">
    <mergeCell ref="G1:N1"/>
    <mergeCell ref="G10:N1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26"/>
  <sheetViews>
    <sheetView rightToLeft="1" workbookViewId="0">
      <selection activeCell="L27" sqref="L27"/>
    </sheetView>
  </sheetViews>
  <sheetFormatPr defaultRowHeight="14.4" x14ac:dyDescent="0.3"/>
  <cols>
    <col min="1" max="1" width="11" bestFit="1" customWidth="1"/>
    <col min="2" max="2" width="22.6640625" bestFit="1" customWidth="1"/>
    <col min="3" max="3" width="22.5546875" bestFit="1" customWidth="1"/>
    <col min="4" max="4" width="15.44140625" bestFit="1" customWidth="1"/>
    <col min="14" max="14" width="12" bestFit="1" customWidth="1"/>
  </cols>
  <sheetData>
    <row r="1" spans="1:4" ht="15.6" x14ac:dyDescent="0.3">
      <c r="A1" s="17" t="s">
        <v>34</v>
      </c>
      <c r="B1" s="17" t="s">
        <v>33</v>
      </c>
      <c r="C1" s="17" t="s">
        <v>145</v>
      </c>
      <c r="D1" s="17" t="s">
        <v>146</v>
      </c>
    </row>
    <row r="2" spans="1:4" ht="16.2" x14ac:dyDescent="0.45">
      <c r="A2" s="18" t="s">
        <v>36</v>
      </c>
      <c r="B2" s="18" t="s">
        <v>35</v>
      </c>
      <c r="C2" s="19">
        <v>4565000</v>
      </c>
      <c r="D2" s="19">
        <f>C2/1000</f>
        <v>4565</v>
      </c>
    </row>
    <row r="3" spans="1:4" ht="16.2" x14ac:dyDescent="0.45">
      <c r="A3" s="18" t="s">
        <v>36</v>
      </c>
      <c r="B3" s="18" t="s">
        <v>37</v>
      </c>
      <c r="C3" s="19">
        <v>5607000</v>
      </c>
      <c r="D3" s="19">
        <f t="shared" ref="D3:D26" si="0">C3/1000</f>
        <v>5607</v>
      </c>
    </row>
    <row r="4" spans="1:4" ht="16.2" x14ac:dyDescent="0.45">
      <c r="A4" s="18" t="s">
        <v>36</v>
      </c>
      <c r="B4" s="18" t="s">
        <v>38</v>
      </c>
      <c r="C4" s="19">
        <v>5173000</v>
      </c>
      <c r="D4" s="19">
        <f t="shared" si="0"/>
        <v>5173</v>
      </c>
    </row>
    <row r="5" spans="1:4" ht="16.2" x14ac:dyDescent="0.45">
      <c r="A5" s="18" t="s">
        <v>36</v>
      </c>
      <c r="B5" s="18" t="s">
        <v>39</v>
      </c>
      <c r="C5" s="19">
        <v>6305000</v>
      </c>
      <c r="D5" s="19">
        <f t="shared" si="0"/>
        <v>6305</v>
      </c>
    </row>
    <row r="6" spans="1:4" ht="16.2" x14ac:dyDescent="0.45">
      <c r="A6" s="18" t="s">
        <v>40</v>
      </c>
      <c r="B6" s="18" t="s">
        <v>35</v>
      </c>
      <c r="C6" s="19">
        <v>4565000</v>
      </c>
      <c r="D6" s="19">
        <f t="shared" si="0"/>
        <v>4565</v>
      </c>
    </row>
    <row r="7" spans="1:4" ht="16.2" x14ac:dyDescent="0.45">
      <c r="A7" s="18" t="s">
        <v>40</v>
      </c>
      <c r="B7" s="18" t="s">
        <v>37</v>
      </c>
      <c r="C7" s="19">
        <v>5607000</v>
      </c>
      <c r="D7" s="19">
        <f t="shared" si="0"/>
        <v>5607</v>
      </c>
    </row>
    <row r="8" spans="1:4" ht="16.2" x14ac:dyDescent="0.45">
      <c r="A8" s="18" t="s">
        <v>40</v>
      </c>
      <c r="B8" s="18" t="s">
        <v>38</v>
      </c>
      <c r="C8" s="19">
        <v>4804000</v>
      </c>
      <c r="D8" s="19">
        <f t="shared" si="0"/>
        <v>4804</v>
      </c>
    </row>
    <row r="9" spans="1:4" ht="16.2" x14ac:dyDescent="0.45">
      <c r="A9" s="18" t="s">
        <v>40</v>
      </c>
      <c r="B9" s="18" t="s">
        <v>39</v>
      </c>
      <c r="C9" s="19">
        <v>5310000</v>
      </c>
      <c r="D9" s="19">
        <f t="shared" si="0"/>
        <v>5310</v>
      </c>
    </row>
    <row r="10" spans="1:4" ht="16.2" x14ac:dyDescent="0.45">
      <c r="A10" s="18" t="s">
        <v>41</v>
      </c>
      <c r="B10" s="18" t="s">
        <v>37</v>
      </c>
      <c r="C10" s="19">
        <v>5607000</v>
      </c>
      <c r="D10" s="19">
        <f t="shared" si="0"/>
        <v>5607</v>
      </c>
    </row>
    <row r="11" spans="1:4" ht="16.2" x14ac:dyDescent="0.45">
      <c r="A11" s="18" t="s">
        <v>41</v>
      </c>
      <c r="B11" s="18" t="s">
        <v>39</v>
      </c>
      <c r="C11" s="19">
        <v>5310000</v>
      </c>
      <c r="D11" s="19">
        <f t="shared" si="0"/>
        <v>5310</v>
      </c>
    </row>
    <row r="12" spans="1:4" ht="16.2" x14ac:dyDescent="0.45">
      <c r="A12" s="18" t="s">
        <v>42</v>
      </c>
      <c r="B12" s="18" t="s">
        <v>37</v>
      </c>
      <c r="C12" s="19">
        <v>5607000</v>
      </c>
      <c r="D12" s="19">
        <f t="shared" si="0"/>
        <v>5607</v>
      </c>
    </row>
    <row r="13" spans="1:4" ht="16.2" x14ac:dyDescent="0.45">
      <c r="A13" s="18" t="s">
        <v>43</v>
      </c>
      <c r="B13" s="18" t="s">
        <v>37</v>
      </c>
      <c r="C13" s="19">
        <v>5607000</v>
      </c>
      <c r="D13" s="19">
        <f t="shared" si="0"/>
        <v>5607</v>
      </c>
    </row>
    <row r="14" spans="1:4" ht="16.2" x14ac:dyDescent="0.45">
      <c r="A14" s="18" t="s">
        <v>44</v>
      </c>
      <c r="B14" s="18" t="s">
        <v>35</v>
      </c>
      <c r="C14" s="19">
        <v>4565000</v>
      </c>
      <c r="D14" s="19">
        <f t="shared" si="0"/>
        <v>4565</v>
      </c>
    </row>
    <row r="15" spans="1:4" ht="16.2" x14ac:dyDescent="0.45">
      <c r="A15" s="18" t="s">
        <v>44</v>
      </c>
      <c r="B15" s="18" t="s">
        <v>37</v>
      </c>
      <c r="C15" s="19">
        <v>5607000</v>
      </c>
      <c r="D15" s="19">
        <f t="shared" si="0"/>
        <v>5607</v>
      </c>
    </row>
    <row r="16" spans="1:4" ht="16.2" x14ac:dyDescent="0.45">
      <c r="A16" s="18" t="s">
        <v>44</v>
      </c>
      <c r="B16" s="18" t="s">
        <v>38</v>
      </c>
      <c r="C16" s="19">
        <v>4412000</v>
      </c>
      <c r="D16" s="19">
        <f t="shared" si="0"/>
        <v>4412</v>
      </c>
    </row>
    <row r="17" spans="1:17" ht="16.2" x14ac:dyDescent="0.45">
      <c r="A17" s="18" t="s">
        <v>44</v>
      </c>
      <c r="B17" s="18" t="s">
        <v>39</v>
      </c>
      <c r="C17" s="19">
        <v>5310000</v>
      </c>
      <c r="D17" s="19">
        <f t="shared" si="0"/>
        <v>5310</v>
      </c>
      <c r="L17" s="58"/>
      <c r="M17" s="58"/>
      <c r="O17" s="19"/>
      <c r="Q17" s="19"/>
    </row>
    <row r="18" spans="1:17" ht="16.2" x14ac:dyDescent="0.45">
      <c r="A18" s="18" t="s">
        <v>45</v>
      </c>
      <c r="B18" s="18" t="s">
        <v>37</v>
      </c>
      <c r="C18" s="19">
        <v>5607000</v>
      </c>
      <c r="D18" s="19">
        <f t="shared" si="0"/>
        <v>5607</v>
      </c>
    </row>
    <row r="19" spans="1:17" ht="16.2" x14ac:dyDescent="0.45">
      <c r="A19" s="18" t="s">
        <v>45</v>
      </c>
      <c r="B19" s="18" t="s">
        <v>39</v>
      </c>
      <c r="C19" s="19">
        <v>5310000</v>
      </c>
      <c r="D19" s="19">
        <f t="shared" si="0"/>
        <v>5310</v>
      </c>
    </row>
    <row r="20" spans="1:17" ht="16.2" x14ac:dyDescent="0.45">
      <c r="A20" s="18" t="s">
        <v>46</v>
      </c>
      <c r="B20" s="18" t="s">
        <v>37</v>
      </c>
      <c r="C20" s="19">
        <v>5607000</v>
      </c>
      <c r="D20" s="19">
        <f t="shared" si="0"/>
        <v>5607</v>
      </c>
    </row>
    <row r="21" spans="1:17" ht="16.2" x14ac:dyDescent="0.45">
      <c r="A21" s="18" t="s">
        <v>47</v>
      </c>
      <c r="B21" s="18" t="s">
        <v>37</v>
      </c>
      <c r="C21" s="19">
        <v>5607000</v>
      </c>
      <c r="D21" s="19">
        <f t="shared" si="0"/>
        <v>5607</v>
      </c>
    </row>
    <row r="22" spans="1:17" ht="16.2" x14ac:dyDescent="0.45">
      <c r="A22" s="18" t="s">
        <v>139</v>
      </c>
      <c r="B22" s="18" t="s">
        <v>35</v>
      </c>
      <c r="C22" s="19">
        <v>4565000</v>
      </c>
      <c r="D22" s="19">
        <f t="shared" si="0"/>
        <v>4565</v>
      </c>
    </row>
    <row r="23" spans="1:17" ht="16.2" x14ac:dyDescent="0.45">
      <c r="A23" s="18" t="s">
        <v>139</v>
      </c>
      <c r="B23" s="18" t="s">
        <v>37</v>
      </c>
      <c r="C23" s="19">
        <v>5607000</v>
      </c>
      <c r="D23" s="19">
        <f t="shared" si="0"/>
        <v>5607</v>
      </c>
    </row>
    <row r="24" spans="1:17" ht="16.2" x14ac:dyDescent="0.45">
      <c r="A24" s="18" t="s">
        <v>139</v>
      </c>
      <c r="B24" s="18" t="s">
        <v>37</v>
      </c>
      <c r="C24" s="19">
        <v>5607000</v>
      </c>
      <c r="D24" s="19">
        <f t="shared" si="0"/>
        <v>5607</v>
      </c>
    </row>
    <row r="25" spans="1:17" ht="16.2" x14ac:dyDescent="0.45">
      <c r="A25" s="18" t="s">
        <v>140</v>
      </c>
      <c r="B25" s="18" t="s">
        <v>37</v>
      </c>
      <c r="C25" s="19">
        <v>5607000</v>
      </c>
      <c r="D25" s="19">
        <f t="shared" si="0"/>
        <v>5607</v>
      </c>
      <c r="E25" s="19"/>
    </row>
    <row r="26" spans="1:17" ht="16.2" x14ac:dyDescent="0.45">
      <c r="A26" s="18" t="s">
        <v>186</v>
      </c>
      <c r="B26" s="18" t="s">
        <v>37</v>
      </c>
      <c r="C26" s="19">
        <v>5607000</v>
      </c>
      <c r="D26" s="19">
        <f t="shared" si="0"/>
        <v>5607</v>
      </c>
    </row>
  </sheetData>
  <phoneticPr fontId="10"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
  <sheetViews>
    <sheetView showGridLines="0" rightToLeft="1" workbookViewId="0">
      <selection activeCell="M5" sqref="M5"/>
    </sheetView>
  </sheetViews>
  <sheetFormatPr defaultColWidth="9.109375" defaultRowHeight="16.8" x14ac:dyDescent="0.3"/>
  <cols>
    <col min="1" max="1" width="7" style="20" bestFit="1" customWidth="1"/>
    <col min="2" max="2" width="11.88671875" style="20" bestFit="1" customWidth="1"/>
    <col min="3" max="3" width="12.33203125" style="20" bestFit="1" customWidth="1"/>
    <col min="4" max="4" width="11.109375" style="20" bestFit="1" customWidth="1"/>
    <col min="5" max="5" width="12" style="20" bestFit="1" customWidth="1"/>
    <col min="6" max="6" width="11.88671875" style="20" bestFit="1" customWidth="1"/>
    <col min="7" max="7" width="11.5546875" style="20" bestFit="1" customWidth="1"/>
    <col min="8" max="8" width="11.33203125" style="20" bestFit="1" customWidth="1"/>
    <col min="9" max="9" width="11" style="20" bestFit="1" customWidth="1"/>
    <col min="10" max="10" width="11.109375" style="20" bestFit="1" customWidth="1"/>
    <col min="11" max="11" width="11.6640625" style="20" bestFit="1" customWidth="1"/>
    <col min="12" max="12" width="11.5546875" style="20" bestFit="1" customWidth="1"/>
    <col min="13" max="13" width="11.33203125" style="20" bestFit="1" customWidth="1"/>
    <col min="14" max="16384" width="9.109375" style="20"/>
  </cols>
  <sheetData>
    <row r="1" spans="1:13" ht="21.75" customHeight="1" x14ac:dyDescent="0.3">
      <c r="A1" s="22" t="s">
        <v>48</v>
      </c>
      <c r="B1" s="22" t="s">
        <v>49</v>
      </c>
      <c r="C1" s="22" t="s">
        <v>50</v>
      </c>
      <c r="D1" s="22" t="s">
        <v>51</v>
      </c>
      <c r="E1" s="22" t="s">
        <v>52</v>
      </c>
      <c r="F1" s="22" t="s">
        <v>53</v>
      </c>
      <c r="G1" s="22" t="s">
        <v>54</v>
      </c>
      <c r="H1" s="22" t="s">
        <v>55</v>
      </c>
      <c r="I1" s="22" t="s">
        <v>56</v>
      </c>
      <c r="J1" s="22" t="s">
        <v>57</v>
      </c>
      <c r="K1" s="22" t="s">
        <v>58</v>
      </c>
      <c r="L1" s="22" t="s">
        <v>59</v>
      </c>
      <c r="M1" s="22" t="s">
        <v>60</v>
      </c>
    </row>
    <row r="2" spans="1:13" x14ac:dyDescent="0.3">
      <c r="A2" s="21">
        <v>1397</v>
      </c>
      <c r="B2" s="20">
        <v>1069178.8382062274</v>
      </c>
      <c r="C2" s="20">
        <v>1096927.9446164663</v>
      </c>
      <c r="D2" s="20">
        <v>1107213.0553975068</v>
      </c>
      <c r="E2" s="20">
        <v>1171695.8570725189</v>
      </c>
      <c r="F2" s="20">
        <v>1336116.0019306464</v>
      </c>
      <c r="G2" s="20">
        <v>1453149.8185215797</v>
      </c>
      <c r="H2" s="20">
        <v>1562179.5654296875</v>
      </c>
      <c r="I2" s="20">
        <v>1450364.2830012776</v>
      </c>
      <c r="J2" s="20">
        <v>1433009.824827119</v>
      </c>
      <c r="K2" s="20">
        <v>1163379.1975368035</v>
      </c>
      <c r="L2" s="20">
        <v>1413327.9773356731</v>
      </c>
      <c r="M2" s="20">
        <v>1372645.8471271978</v>
      </c>
    </row>
    <row r="3" spans="1:13" x14ac:dyDescent="0.3">
      <c r="A3" s="21">
        <v>1398</v>
      </c>
      <c r="B3" s="20">
        <v>1339095</v>
      </c>
      <c r="C3" s="20">
        <v>1427146</v>
      </c>
      <c r="D3" s="20">
        <v>1424360</v>
      </c>
      <c r="E3" s="20">
        <v>1764568</v>
      </c>
      <c r="F3" s="20">
        <v>1904908</v>
      </c>
      <c r="G3" s="20">
        <v>1901566</v>
      </c>
      <c r="H3" s="20">
        <v>1903814</v>
      </c>
      <c r="I3" s="20">
        <v>1901794</v>
      </c>
      <c r="J3" s="20">
        <v>1880863</v>
      </c>
      <c r="K3" s="20">
        <v>1904839</v>
      </c>
      <c r="L3" s="20">
        <v>1916003</v>
      </c>
      <c r="M3" s="20">
        <v>1965066</v>
      </c>
    </row>
    <row r="4" spans="1:13" x14ac:dyDescent="0.3">
      <c r="A4" s="21">
        <v>1399</v>
      </c>
      <c r="B4" s="20">
        <v>1992595</v>
      </c>
      <c r="C4" s="20">
        <v>1972649</v>
      </c>
      <c r="D4" s="20">
        <v>1987739</v>
      </c>
      <c r="E4" s="20">
        <v>2294797</v>
      </c>
      <c r="F4" s="20">
        <v>2432787</v>
      </c>
      <c r="G4" s="20">
        <v>2478239</v>
      </c>
      <c r="H4" s="20">
        <v>2549567</v>
      </c>
      <c r="I4" s="20">
        <v>2646964</v>
      </c>
      <c r="J4" s="20">
        <v>2569394</v>
      </c>
      <c r="K4" s="20">
        <v>2574327</v>
      </c>
      <c r="L4" s="20">
        <v>2725205</v>
      </c>
      <c r="M4" s="20">
        <v>2699486</v>
      </c>
    </row>
    <row r="5" spans="1:13" x14ac:dyDescent="0.3">
      <c r="A5" s="21">
        <v>1400</v>
      </c>
      <c r="B5" s="20">
        <v>2843764</v>
      </c>
      <c r="C5" s="20">
        <v>3744358</v>
      </c>
      <c r="D5" s="20">
        <v>3831716</v>
      </c>
      <c r="E5" s="20">
        <v>4735872</v>
      </c>
      <c r="F5" s="20">
        <v>5763276</v>
      </c>
      <c r="G5" s="20">
        <v>5864580</v>
      </c>
      <c r="H5" s="20">
        <v>4596331</v>
      </c>
      <c r="I5" s="20">
        <v>4395661</v>
      </c>
      <c r="J5" s="20">
        <v>4238602</v>
      </c>
      <c r="K5" s="20">
        <v>4193566</v>
      </c>
      <c r="L5" s="20">
        <v>4669373</v>
      </c>
      <c r="M5" s="20">
        <v>4950688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M66"/>
  <sheetViews>
    <sheetView showGridLines="0" rightToLeft="1" topLeftCell="A40" workbookViewId="0">
      <selection activeCell="N52" sqref="N52"/>
    </sheetView>
  </sheetViews>
  <sheetFormatPr defaultColWidth="9.109375" defaultRowHeight="16.8" x14ac:dyDescent="0.3"/>
  <cols>
    <col min="1" max="1" width="9.109375" style="1"/>
    <col min="2" max="2" width="30.33203125" style="2" customWidth="1"/>
    <col min="3" max="12" width="12.33203125" style="1" bestFit="1" customWidth="1"/>
    <col min="13" max="13" width="16.88671875" style="1" customWidth="1"/>
    <col min="14" max="14" width="19.6640625" style="1" bestFit="1" customWidth="1"/>
    <col min="15" max="16384" width="9.109375" style="1"/>
  </cols>
  <sheetData>
    <row r="1" spans="2:12" ht="18.600000000000001" x14ac:dyDescent="0.3">
      <c r="B1" s="5" t="s">
        <v>12</v>
      </c>
      <c r="C1" s="6">
        <v>1390</v>
      </c>
      <c r="D1" s="6">
        <v>1391</v>
      </c>
      <c r="E1" s="6">
        <v>1392</v>
      </c>
      <c r="F1" s="6">
        <v>1393</v>
      </c>
      <c r="G1" s="6">
        <v>1394</v>
      </c>
      <c r="H1" s="6">
        <v>1395</v>
      </c>
      <c r="I1" s="6">
        <v>1396</v>
      </c>
      <c r="J1" s="6">
        <v>1397</v>
      </c>
      <c r="K1" s="6">
        <v>1398</v>
      </c>
      <c r="L1" s="6">
        <v>1399</v>
      </c>
    </row>
    <row r="2" spans="2:12" ht="18.600000000000001" x14ac:dyDescent="0.3">
      <c r="B2" s="7" t="s">
        <v>0</v>
      </c>
      <c r="C2" s="1">
        <v>1601825</v>
      </c>
      <c r="D2" s="1">
        <v>1725681</v>
      </c>
      <c r="E2" s="1">
        <v>1815166</v>
      </c>
      <c r="F2" s="1">
        <v>1810708</v>
      </c>
      <c r="G2" s="1">
        <v>999687</v>
      </c>
      <c r="H2" s="1">
        <v>1413614</v>
      </c>
      <c r="I2" s="1">
        <v>1049025</v>
      </c>
      <c r="J2" s="1">
        <v>1367746</v>
      </c>
      <c r="K2" s="1">
        <v>1163859</v>
      </c>
      <c r="L2" s="1">
        <v>1696933</v>
      </c>
    </row>
    <row r="3" spans="2:12" ht="18.600000000000001" x14ac:dyDescent="0.3">
      <c r="B3" s="7" t="s">
        <v>1</v>
      </c>
      <c r="C3" s="1">
        <v>1530221</v>
      </c>
      <c r="D3" s="1">
        <v>1850607</v>
      </c>
      <c r="E3" s="1">
        <v>1938614</v>
      </c>
      <c r="F3" s="1">
        <v>1776454</v>
      </c>
      <c r="G3" s="1">
        <v>1270205</v>
      </c>
      <c r="H3" s="1">
        <v>1505700</v>
      </c>
      <c r="I3" s="1">
        <v>1255235</v>
      </c>
      <c r="J3" s="1">
        <v>1327169</v>
      </c>
      <c r="K3" s="1">
        <v>1283546</v>
      </c>
      <c r="L3" s="1">
        <v>1820992</v>
      </c>
    </row>
    <row r="4" spans="2:12" ht="17.399999999999999" thickBot="1" x14ac:dyDescent="0.35">
      <c r="B4" s="8" t="s">
        <v>16</v>
      </c>
      <c r="C4" s="9">
        <v>3132046</v>
      </c>
      <c r="D4" s="9">
        <v>3576288</v>
      </c>
      <c r="E4" s="9">
        <v>3753780</v>
      </c>
      <c r="F4" s="9">
        <v>3587162</v>
      </c>
      <c r="G4" s="9">
        <v>2269892</v>
      </c>
      <c r="H4" s="9">
        <v>2919314</v>
      </c>
      <c r="I4" s="9">
        <v>2304260</v>
      </c>
      <c r="J4" s="9">
        <v>1327169</v>
      </c>
      <c r="K4" s="9">
        <v>1283546</v>
      </c>
      <c r="L4" s="9">
        <v>1820992</v>
      </c>
    </row>
    <row r="5" spans="2:12" ht="17.399999999999999" thickTop="1" x14ac:dyDescent="0.3"/>
    <row r="6" spans="2:12" ht="18.600000000000001" x14ac:dyDescent="0.3">
      <c r="B6" s="5" t="s">
        <v>13</v>
      </c>
      <c r="C6" s="6">
        <v>1390</v>
      </c>
      <c r="D6" s="6">
        <v>1391</v>
      </c>
      <c r="E6" s="6">
        <v>1392</v>
      </c>
      <c r="F6" s="6">
        <v>1393</v>
      </c>
      <c r="G6" s="6">
        <v>1394</v>
      </c>
      <c r="H6" s="6">
        <v>1395</v>
      </c>
      <c r="I6" s="6">
        <v>1396</v>
      </c>
      <c r="J6" s="6">
        <v>1397</v>
      </c>
      <c r="K6" s="6">
        <v>1398</v>
      </c>
      <c r="L6" s="6">
        <v>1399</v>
      </c>
    </row>
    <row r="7" spans="2:12" ht="18.600000000000001" x14ac:dyDescent="0.3">
      <c r="B7" s="7" t="s">
        <v>2</v>
      </c>
      <c r="C7" s="4">
        <v>308215</v>
      </c>
      <c r="D7" s="4">
        <v>597875</v>
      </c>
      <c r="E7" s="4">
        <v>663685</v>
      </c>
      <c r="F7" s="4">
        <v>475465</v>
      </c>
      <c r="G7" s="4">
        <v>336433</v>
      </c>
      <c r="H7" s="4">
        <v>342935</v>
      </c>
      <c r="I7" s="4">
        <v>257224</v>
      </c>
      <c r="J7" s="4">
        <f>121282+240781</f>
        <v>362063</v>
      </c>
      <c r="K7" s="4">
        <v>269371</v>
      </c>
      <c r="L7" s="4">
        <v>558618</v>
      </c>
    </row>
    <row r="8" spans="2:12" ht="18.600000000000001" x14ac:dyDescent="0.3">
      <c r="B8" s="7" t="s">
        <v>3</v>
      </c>
      <c r="C8" s="4">
        <v>315299</v>
      </c>
      <c r="D8" s="4">
        <v>579502</v>
      </c>
      <c r="E8" s="4">
        <v>643520</v>
      </c>
      <c r="F8" s="4">
        <v>704750</v>
      </c>
      <c r="G8" s="4">
        <v>514716</v>
      </c>
      <c r="H8" s="4">
        <v>692601</v>
      </c>
      <c r="I8" s="4">
        <v>476217</v>
      </c>
      <c r="J8" s="4">
        <f>415516+1490</f>
        <v>417006</v>
      </c>
      <c r="K8" s="4">
        <v>520008</v>
      </c>
      <c r="L8" s="4">
        <v>694756</v>
      </c>
    </row>
    <row r="9" spans="2:12" ht="18.600000000000001" x14ac:dyDescent="0.3">
      <c r="B9" s="7" t="s">
        <v>4</v>
      </c>
      <c r="C9" s="3">
        <v>0</v>
      </c>
      <c r="D9" s="3">
        <v>0</v>
      </c>
      <c r="E9" s="3">
        <v>0</v>
      </c>
      <c r="F9" s="3">
        <v>0</v>
      </c>
      <c r="G9" s="3">
        <v>0</v>
      </c>
      <c r="H9" s="3">
        <v>0</v>
      </c>
      <c r="I9" s="4">
        <v>43515</v>
      </c>
      <c r="J9" s="4">
        <v>51063</v>
      </c>
      <c r="K9" s="4">
        <v>67547</v>
      </c>
      <c r="L9" s="4">
        <v>84546</v>
      </c>
    </row>
    <row r="10" spans="2:12" ht="18.600000000000001" x14ac:dyDescent="0.3">
      <c r="B10" s="7" t="s">
        <v>5</v>
      </c>
      <c r="C10" s="3">
        <v>0</v>
      </c>
      <c r="D10" s="3">
        <v>0</v>
      </c>
      <c r="E10" s="3">
        <v>0</v>
      </c>
      <c r="F10" s="3">
        <v>0</v>
      </c>
      <c r="G10" s="3">
        <v>0</v>
      </c>
      <c r="H10" s="3">
        <v>0</v>
      </c>
      <c r="I10" s="4">
        <v>57605</v>
      </c>
      <c r="J10" s="4">
        <v>67444</v>
      </c>
      <c r="K10" s="4">
        <v>70606</v>
      </c>
      <c r="L10" s="4">
        <v>107930</v>
      </c>
    </row>
    <row r="11" spans="2:12" ht="18.600000000000001" x14ac:dyDescent="0.3">
      <c r="B11" s="7" t="s">
        <v>6</v>
      </c>
      <c r="C11" s="4">
        <v>639054</v>
      </c>
      <c r="D11" s="4">
        <v>611137</v>
      </c>
      <c r="E11" s="4">
        <v>568260</v>
      </c>
      <c r="F11" s="4">
        <v>566528</v>
      </c>
      <c r="G11" s="4">
        <v>390893</v>
      </c>
      <c r="H11" s="4">
        <v>355107</v>
      </c>
      <c r="I11" s="4">
        <v>272334</v>
      </c>
      <c r="J11" s="4">
        <v>194041</v>
      </c>
      <c r="K11" s="4">
        <v>136538</v>
      </c>
      <c r="L11" s="4">
        <v>0</v>
      </c>
    </row>
    <row r="12" spans="2:12" ht="18.600000000000001" x14ac:dyDescent="0.3">
      <c r="B12" s="7" t="s">
        <v>7</v>
      </c>
      <c r="C12" s="4">
        <v>234122</v>
      </c>
      <c r="D12" s="4">
        <v>58620</v>
      </c>
      <c r="E12" s="4">
        <v>73016</v>
      </c>
      <c r="F12" s="4">
        <v>38776</v>
      </c>
      <c r="G12" s="4">
        <v>18207</v>
      </c>
      <c r="H12" s="4">
        <v>19840</v>
      </c>
      <c r="I12" s="4">
        <v>28731</v>
      </c>
      <c r="J12" s="4">
        <f>21289+5966</f>
        <v>27255</v>
      </c>
      <c r="K12" s="4">
        <v>3465</v>
      </c>
      <c r="L12" s="4">
        <v>12207</v>
      </c>
    </row>
    <row r="13" spans="2:12" ht="18.600000000000001" x14ac:dyDescent="0.3">
      <c r="B13" s="7" t="s">
        <v>8</v>
      </c>
      <c r="C13" s="3">
        <v>0</v>
      </c>
      <c r="D13" s="3">
        <v>0</v>
      </c>
      <c r="E13" s="3">
        <v>0</v>
      </c>
      <c r="F13" s="3">
        <v>0</v>
      </c>
      <c r="G13" s="3">
        <v>0</v>
      </c>
      <c r="H13" s="4">
        <v>83713</v>
      </c>
      <c r="I13" s="4">
        <v>126509</v>
      </c>
      <c r="J13" s="4">
        <v>181811</v>
      </c>
      <c r="K13" s="4">
        <v>189563</v>
      </c>
      <c r="L13" s="4">
        <v>278466</v>
      </c>
    </row>
    <row r="14" spans="2:12" ht="18.600000000000001" x14ac:dyDescent="0.3">
      <c r="B14" s="7" t="s">
        <v>9</v>
      </c>
      <c r="C14" s="3">
        <v>0</v>
      </c>
      <c r="D14" s="3">
        <v>0</v>
      </c>
      <c r="E14" s="3">
        <v>0</v>
      </c>
      <c r="F14" s="3">
        <v>0</v>
      </c>
      <c r="G14" s="3">
        <v>0</v>
      </c>
      <c r="H14" s="4">
        <v>9002</v>
      </c>
      <c r="I14" s="4">
        <v>2595</v>
      </c>
      <c r="J14" s="4">
        <v>1384</v>
      </c>
      <c r="K14" s="4">
        <v>182</v>
      </c>
      <c r="L14" s="4">
        <v>800</v>
      </c>
    </row>
    <row r="15" spans="2:12" ht="18.600000000000001" x14ac:dyDescent="0.3">
      <c r="B15" s="7" t="s">
        <v>0</v>
      </c>
      <c r="C15" s="3">
        <v>0</v>
      </c>
      <c r="D15" s="3">
        <v>0</v>
      </c>
      <c r="E15" s="3">
        <v>0</v>
      </c>
      <c r="F15" s="3">
        <v>0</v>
      </c>
      <c r="G15" s="3">
        <v>0</v>
      </c>
      <c r="H15" s="3">
        <v>0</v>
      </c>
      <c r="I15" s="3">
        <v>0</v>
      </c>
      <c r="J15" s="4">
        <v>0</v>
      </c>
      <c r="K15" s="4">
        <v>15392</v>
      </c>
      <c r="L15" s="4">
        <v>11175</v>
      </c>
    </row>
    <row r="16" spans="2:12" ht="18.600000000000001" x14ac:dyDescent="0.3">
      <c r="B16" s="7" t="s">
        <v>10</v>
      </c>
      <c r="C16" s="3">
        <v>0</v>
      </c>
      <c r="D16" s="3">
        <v>0</v>
      </c>
      <c r="E16" s="3">
        <v>0</v>
      </c>
      <c r="F16" s="3">
        <v>0</v>
      </c>
      <c r="G16" s="3">
        <v>0</v>
      </c>
      <c r="H16" s="3">
        <v>0</v>
      </c>
      <c r="I16" s="3">
        <v>0</v>
      </c>
      <c r="J16" s="4">
        <f>12073+3288</f>
        <v>15361</v>
      </c>
      <c r="K16" s="4">
        <v>26263</v>
      </c>
      <c r="L16" s="4">
        <v>83071</v>
      </c>
    </row>
    <row r="17" spans="2:12" ht="17.399999999999999" thickBot="1" x14ac:dyDescent="0.35">
      <c r="B17" s="8" t="s">
        <v>16</v>
      </c>
      <c r="C17" s="9">
        <v>1496690</v>
      </c>
      <c r="D17" s="9">
        <v>1847134</v>
      </c>
      <c r="E17" s="9">
        <v>1948481</v>
      </c>
      <c r="F17" s="9">
        <v>1785519</v>
      </c>
      <c r="G17" s="9">
        <v>1260249</v>
      </c>
      <c r="H17" s="9">
        <v>1503198</v>
      </c>
      <c r="I17" s="9">
        <v>1264730</v>
      </c>
      <c r="J17" s="9">
        <v>1317428</v>
      </c>
      <c r="K17" s="9">
        <v>1298936</v>
      </c>
      <c r="L17" s="9">
        <v>1831569</v>
      </c>
    </row>
    <row r="18" spans="2:12" ht="17.399999999999999" thickTop="1" x14ac:dyDescent="0.3"/>
    <row r="19" spans="2:12" ht="18.600000000000001" x14ac:dyDescent="0.3">
      <c r="B19" s="5" t="s">
        <v>14</v>
      </c>
      <c r="C19" s="6">
        <v>1390</v>
      </c>
      <c r="D19" s="6">
        <v>1391</v>
      </c>
      <c r="E19" s="6">
        <v>1392</v>
      </c>
      <c r="F19" s="6">
        <v>1393</v>
      </c>
      <c r="G19" s="6">
        <v>1394</v>
      </c>
      <c r="H19" s="6">
        <v>1395</v>
      </c>
      <c r="I19" s="6">
        <v>1396</v>
      </c>
      <c r="J19" s="6">
        <v>1397</v>
      </c>
      <c r="K19" s="6">
        <v>1398</v>
      </c>
      <c r="L19" s="6">
        <v>1399</v>
      </c>
    </row>
    <row r="20" spans="2:12" ht="18.600000000000001" x14ac:dyDescent="0.3">
      <c r="B20" s="7" t="s">
        <v>2</v>
      </c>
      <c r="C20" s="4">
        <v>198923</v>
      </c>
      <c r="D20" s="4">
        <v>311477</v>
      </c>
      <c r="E20" s="4">
        <v>620401</v>
      </c>
      <c r="F20" s="4">
        <v>472119</v>
      </c>
      <c r="G20" s="4">
        <v>265015</v>
      </c>
      <c r="H20" s="4">
        <v>388012</v>
      </c>
      <c r="I20" s="4">
        <v>242051</v>
      </c>
      <c r="J20" s="4">
        <f>181624+348801</f>
        <v>530425</v>
      </c>
      <c r="K20" s="4">
        <v>534075</v>
      </c>
      <c r="L20" s="4">
        <v>1505898</v>
      </c>
    </row>
    <row r="21" spans="2:12" ht="18.600000000000001" x14ac:dyDescent="0.3">
      <c r="B21" s="7" t="s">
        <v>3</v>
      </c>
      <c r="C21" s="4">
        <v>182610</v>
      </c>
      <c r="D21" s="4">
        <v>513997</v>
      </c>
      <c r="E21" s="4">
        <v>556147</v>
      </c>
      <c r="F21" s="4">
        <v>687903</v>
      </c>
      <c r="G21" s="4">
        <v>460478</v>
      </c>
      <c r="H21" s="4">
        <v>417870</v>
      </c>
      <c r="I21" s="4">
        <v>514810</v>
      </c>
      <c r="J21" s="4">
        <f>534269+1660</f>
        <v>535929</v>
      </c>
      <c r="K21" s="4">
        <v>886404</v>
      </c>
      <c r="L21" s="4">
        <v>1478841</v>
      </c>
    </row>
    <row r="22" spans="2:12" ht="18.600000000000001" x14ac:dyDescent="0.3">
      <c r="B22" s="7" t="s">
        <v>4</v>
      </c>
      <c r="C22" s="4">
        <v>0</v>
      </c>
      <c r="D22" s="4">
        <v>0</v>
      </c>
      <c r="E22" s="4">
        <v>0</v>
      </c>
      <c r="F22" s="4">
        <v>0</v>
      </c>
      <c r="G22" s="4">
        <v>0</v>
      </c>
      <c r="H22" s="4">
        <v>0</v>
      </c>
      <c r="I22" s="4">
        <v>46129</v>
      </c>
      <c r="J22" s="4">
        <v>75469</v>
      </c>
      <c r="K22" s="4">
        <v>137882</v>
      </c>
      <c r="L22" s="4">
        <v>203278</v>
      </c>
    </row>
    <row r="23" spans="2:12" ht="18.600000000000001" x14ac:dyDescent="0.3">
      <c r="B23" s="7" t="s">
        <v>5</v>
      </c>
      <c r="C23" s="4">
        <v>0</v>
      </c>
      <c r="D23" s="4">
        <v>0</v>
      </c>
      <c r="E23" s="4">
        <v>0</v>
      </c>
      <c r="F23" s="4">
        <v>0</v>
      </c>
      <c r="G23" s="4">
        <v>0</v>
      </c>
      <c r="H23" s="4">
        <v>0</v>
      </c>
      <c r="I23" s="4">
        <v>63473</v>
      </c>
      <c r="J23" s="4">
        <v>85263</v>
      </c>
      <c r="K23" s="4">
        <v>111337</v>
      </c>
      <c r="L23" s="4">
        <v>233521</v>
      </c>
    </row>
    <row r="24" spans="2:12" ht="18.600000000000001" x14ac:dyDescent="0.3">
      <c r="B24" s="7" t="s">
        <v>6</v>
      </c>
      <c r="C24" s="4">
        <v>387783</v>
      </c>
      <c r="D24" s="4">
        <v>435558</v>
      </c>
      <c r="E24" s="4">
        <v>525881</v>
      </c>
      <c r="F24" s="4">
        <v>585662</v>
      </c>
      <c r="G24" s="4">
        <v>364734</v>
      </c>
      <c r="H24" s="4">
        <v>299844</v>
      </c>
      <c r="I24" s="4">
        <v>330285</v>
      </c>
      <c r="J24" s="4">
        <v>274788</v>
      </c>
      <c r="K24" s="4">
        <v>258881</v>
      </c>
      <c r="L24" s="4">
        <v>0</v>
      </c>
    </row>
    <row r="25" spans="2:12" ht="18.600000000000001" x14ac:dyDescent="0.3">
      <c r="B25" s="7" t="s">
        <v>7</v>
      </c>
      <c r="C25" s="4">
        <v>125842</v>
      </c>
      <c r="D25" s="4">
        <v>35558</v>
      </c>
      <c r="E25" s="4">
        <v>57277</v>
      </c>
      <c r="F25" s="4">
        <v>33812</v>
      </c>
      <c r="G25" s="4">
        <v>14978</v>
      </c>
      <c r="H25" s="4">
        <v>15243</v>
      </c>
      <c r="I25" s="4">
        <v>31414</v>
      </c>
      <c r="J25" s="4">
        <f>27174+7585</f>
        <v>34759</v>
      </c>
      <c r="K25" s="4">
        <v>5888</v>
      </c>
      <c r="L25" s="4">
        <v>25831</v>
      </c>
    </row>
    <row r="26" spans="2:12" ht="18.600000000000001" x14ac:dyDescent="0.3">
      <c r="B26" s="7" t="s">
        <v>8</v>
      </c>
      <c r="C26" s="4">
        <v>0</v>
      </c>
      <c r="D26" s="4">
        <v>0</v>
      </c>
      <c r="E26" s="4">
        <v>0</v>
      </c>
      <c r="F26" s="4">
        <v>0</v>
      </c>
      <c r="G26" s="4">
        <v>0</v>
      </c>
      <c r="H26" s="4">
        <v>87766</v>
      </c>
      <c r="I26" s="4">
        <v>143514</v>
      </c>
      <c r="J26" s="4">
        <v>264082</v>
      </c>
      <c r="K26" s="4">
        <v>384548</v>
      </c>
      <c r="L26" s="4">
        <v>721280</v>
      </c>
    </row>
    <row r="27" spans="2:12" ht="18.600000000000001" x14ac:dyDescent="0.3">
      <c r="B27" s="7" t="s">
        <v>9</v>
      </c>
      <c r="C27" s="4">
        <v>0</v>
      </c>
      <c r="D27" s="4">
        <v>0</v>
      </c>
      <c r="E27" s="4">
        <v>0</v>
      </c>
      <c r="F27" s="4">
        <v>0</v>
      </c>
      <c r="G27" s="4">
        <v>0</v>
      </c>
      <c r="H27" s="4">
        <v>7804</v>
      </c>
      <c r="I27" s="4">
        <v>2683</v>
      </c>
      <c r="J27" s="4">
        <v>1647</v>
      </c>
      <c r="K27" s="4">
        <v>330</v>
      </c>
      <c r="L27" s="4">
        <v>1707</v>
      </c>
    </row>
    <row r="28" spans="2:12" ht="18.600000000000001" x14ac:dyDescent="0.3">
      <c r="B28" s="7" t="s">
        <v>0</v>
      </c>
      <c r="C28" s="4">
        <v>0</v>
      </c>
      <c r="D28" s="4">
        <v>0</v>
      </c>
      <c r="E28" s="4">
        <v>0</v>
      </c>
      <c r="F28" s="4">
        <v>0</v>
      </c>
      <c r="G28" s="4">
        <v>0</v>
      </c>
      <c r="H28" s="4">
        <v>0</v>
      </c>
      <c r="I28" s="4">
        <v>0</v>
      </c>
      <c r="J28" s="4">
        <v>0</v>
      </c>
      <c r="K28" s="4">
        <v>14481</v>
      </c>
      <c r="L28" s="4">
        <v>17716</v>
      </c>
    </row>
    <row r="29" spans="2:12" ht="18.600000000000001" x14ac:dyDescent="0.3">
      <c r="B29" s="7" t="s">
        <v>10</v>
      </c>
      <c r="C29" s="3">
        <v>0</v>
      </c>
      <c r="D29" s="3">
        <v>0</v>
      </c>
      <c r="E29" s="3">
        <v>0</v>
      </c>
      <c r="F29" s="3">
        <v>0</v>
      </c>
      <c r="G29" s="3">
        <v>0</v>
      </c>
      <c r="H29" s="3">
        <v>0</v>
      </c>
      <c r="I29" s="3">
        <v>0</v>
      </c>
      <c r="J29" s="4">
        <f>17924+2855</f>
        <v>20779</v>
      </c>
      <c r="K29" s="4">
        <v>50589</v>
      </c>
      <c r="L29" s="3">
        <v>203951</v>
      </c>
    </row>
    <row r="30" spans="2:12" ht="18.600000000000001" x14ac:dyDescent="0.3">
      <c r="B30" s="7" t="s">
        <v>11</v>
      </c>
      <c r="C30" s="3">
        <v>0</v>
      </c>
      <c r="D30" s="3">
        <v>0</v>
      </c>
      <c r="E30" s="3">
        <v>0</v>
      </c>
      <c r="F30" s="3">
        <v>0</v>
      </c>
      <c r="G30" s="3">
        <v>0</v>
      </c>
      <c r="H30" s="3">
        <v>0</v>
      </c>
      <c r="I30" s="3">
        <v>0</v>
      </c>
      <c r="J30" s="4">
        <f>-117160-145</f>
        <v>-117305</v>
      </c>
      <c r="K30" s="4">
        <v>-132955</v>
      </c>
      <c r="L30" s="3">
        <v>-46000</v>
      </c>
    </row>
    <row r="31" spans="2:12" ht="17.399999999999999" thickBot="1" x14ac:dyDescent="0.35">
      <c r="B31" s="8" t="s">
        <v>16</v>
      </c>
      <c r="C31" s="9">
        <v>895158</v>
      </c>
      <c r="D31" s="9">
        <v>1296590</v>
      </c>
      <c r="E31" s="9">
        <v>1759706</v>
      </c>
      <c r="F31" s="9">
        <v>1779496</v>
      </c>
      <c r="G31" s="9">
        <v>1105205</v>
      </c>
      <c r="H31" s="9">
        <v>1216539</v>
      </c>
      <c r="I31" s="9">
        <v>1374359</v>
      </c>
      <c r="J31" s="9">
        <v>1700836</v>
      </c>
      <c r="K31" s="9">
        <v>2251460</v>
      </c>
      <c r="L31" s="9">
        <v>4346023</v>
      </c>
    </row>
    <row r="32" spans="2:12" ht="17.399999999999999" thickTop="1" x14ac:dyDescent="0.3"/>
    <row r="33" spans="2:12" ht="18.600000000000001" x14ac:dyDescent="0.3">
      <c r="B33" s="5" t="s">
        <v>15</v>
      </c>
      <c r="C33" s="6">
        <v>1390</v>
      </c>
      <c r="D33" s="6">
        <v>1391</v>
      </c>
      <c r="E33" s="6">
        <v>1392</v>
      </c>
      <c r="F33" s="6">
        <v>1393</v>
      </c>
      <c r="G33" s="6">
        <v>1394</v>
      </c>
      <c r="H33" s="6">
        <v>1395</v>
      </c>
      <c r="I33" s="6">
        <v>1396</v>
      </c>
      <c r="J33" s="6">
        <v>1397</v>
      </c>
      <c r="K33" s="6">
        <v>1398</v>
      </c>
      <c r="L33" s="6">
        <v>1399</v>
      </c>
    </row>
    <row r="34" spans="2:12" ht="18.600000000000001" x14ac:dyDescent="0.3">
      <c r="B34" s="7" t="s">
        <v>2</v>
      </c>
      <c r="C34" s="1">
        <f t="shared" ref="C34:L34" si="0">C20*1000000/C7</f>
        <v>645403.37102347391</v>
      </c>
      <c r="D34" s="1">
        <f t="shared" si="0"/>
        <v>520973.44762701233</v>
      </c>
      <c r="E34" s="1">
        <f t="shared" si="0"/>
        <v>934782.31389891286</v>
      </c>
      <c r="F34" s="1">
        <f t="shared" si="0"/>
        <v>992962.67864090938</v>
      </c>
      <c r="G34" s="1">
        <f t="shared" si="0"/>
        <v>787719.99179628631</v>
      </c>
      <c r="H34" s="1">
        <f t="shared" si="0"/>
        <v>1131444.734424891</v>
      </c>
      <c r="I34" s="1">
        <f t="shared" si="0"/>
        <v>941012.50272136345</v>
      </c>
      <c r="J34" s="1">
        <f t="shared" si="0"/>
        <v>1465007.4710754759</v>
      </c>
      <c r="K34" s="1">
        <f t="shared" si="0"/>
        <v>1982674.4527064904</v>
      </c>
      <c r="L34" s="1">
        <f t="shared" si="0"/>
        <v>2695756.3129007658</v>
      </c>
    </row>
    <row r="35" spans="2:12" ht="18.600000000000001" x14ac:dyDescent="0.3">
      <c r="B35" s="7" t="s">
        <v>3</v>
      </c>
      <c r="C35" s="1">
        <f t="shared" ref="C35:L35" si="1">C21*1000000/C8</f>
        <v>579164.53905657807</v>
      </c>
      <c r="D35" s="1">
        <f t="shared" si="1"/>
        <v>886963.28916897613</v>
      </c>
      <c r="E35" s="1">
        <f t="shared" si="1"/>
        <v>864226.44206862256</v>
      </c>
      <c r="F35" s="1">
        <f t="shared" si="1"/>
        <v>976095.06917346572</v>
      </c>
      <c r="G35" s="1">
        <f t="shared" si="1"/>
        <v>894625.38564956211</v>
      </c>
      <c r="H35" s="1">
        <f t="shared" si="1"/>
        <v>603334.38733123406</v>
      </c>
      <c r="I35" s="1">
        <f t="shared" si="1"/>
        <v>1081040.7860282182</v>
      </c>
      <c r="J35" s="1">
        <f t="shared" si="1"/>
        <v>1285182.9470079567</v>
      </c>
      <c r="K35" s="1">
        <f t="shared" si="1"/>
        <v>1704596.8523561177</v>
      </c>
      <c r="L35" s="1">
        <f t="shared" si="1"/>
        <v>2128576.0756294294</v>
      </c>
    </row>
    <row r="36" spans="2:12" ht="18.600000000000001" x14ac:dyDescent="0.3">
      <c r="B36" s="7" t="s">
        <v>4</v>
      </c>
      <c r="C36" s="1">
        <v>0</v>
      </c>
      <c r="D36" s="1">
        <v>0</v>
      </c>
      <c r="E36" s="1">
        <v>0</v>
      </c>
      <c r="F36" s="1">
        <v>0</v>
      </c>
      <c r="G36" s="1">
        <v>0</v>
      </c>
      <c r="H36" s="1">
        <v>0</v>
      </c>
      <c r="I36" s="1">
        <f t="shared" ref="I36:L37" si="2">I22*1000000/I9</f>
        <v>1060071.2398023671</v>
      </c>
      <c r="J36" s="1">
        <f t="shared" si="2"/>
        <v>1477958.6001605859</v>
      </c>
      <c r="K36" s="1">
        <f t="shared" si="2"/>
        <v>2041274.9640990717</v>
      </c>
      <c r="L36" s="1">
        <f t="shared" si="2"/>
        <v>2404347.9289380927</v>
      </c>
    </row>
    <row r="37" spans="2:12" ht="18.600000000000001" x14ac:dyDescent="0.3">
      <c r="B37" s="7" t="s">
        <v>5</v>
      </c>
      <c r="C37" s="1">
        <v>0</v>
      </c>
      <c r="D37" s="1">
        <v>0</v>
      </c>
      <c r="E37" s="1">
        <v>0</v>
      </c>
      <c r="F37" s="1">
        <v>0</v>
      </c>
      <c r="G37" s="1">
        <v>0</v>
      </c>
      <c r="H37" s="1">
        <v>0</v>
      </c>
      <c r="I37" s="1">
        <f t="shared" si="2"/>
        <v>1101866.1574516101</v>
      </c>
      <c r="J37" s="1">
        <f t="shared" si="2"/>
        <v>1264204.3769645928</v>
      </c>
      <c r="K37" s="1">
        <f t="shared" si="2"/>
        <v>1576877.3192079994</v>
      </c>
      <c r="L37" s="1">
        <f t="shared" si="2"/>
        <v>2163633.8367460389</v>
      </c>
    </row>
    <row r="38" spans="2:12" ht="18.600000000000001" x14ac:dyDescent="0.3">
      <c r="B38" s="7" t="s">
        <v>6</v>
      </c>
      <c r="C38" s="1">
        <f t="shared" ref="C38:K38" si="3">C24*1000000/C11</f>
        <v>606807.87539081206</v>
      </c>
      <c r="D38" s="1">
        <f t="shared" si="3"/>
        <v>712701.08011787862</v>
      </c>
      <c r="E38" s="1">
        <f t="shared" si="3"/>
        <v>925423.22176468524</v>
      </c>
      <c r="F38" s="1">
        <f t="shared" si="3"/>
        <v>1033774.1470854044</v>
      </c>
      <c r="G38" s="1">
        <f t="shared" si="3"/>
        <v>933078.87324664299</v>
      </c>
      <c r="H38" s="1">
        <f t="shared" si="3"/>
        <v>844376.48370772752</v>
      </c>
      <c r="I38" s="1">
        <f t="shared" si="3"/>
        <v>1212793.8487298684</v>
      </c>
      <c r="J38" s="1">
        <f t="shared" si="3"/>
        <v>1416133.7037017951</v>
      </c>
      <c r="K38" s="1">
        <f t="shared" si="3"/>
        <v>1896036.2682916112</v>
      </c>
      <c r="L38" s="1">
        <v>0</v>
      </c>
    </row>
    <row r="39" spans="2:12" ht="18.600000000000001" x14ac:dyDescent="0.3">
      <c r="B39" s="7" t="s">
        <v>7</v>
      </c>
      <c r="C39" s="1">
        <f t="shared" ref="C39:K39" si="4">C25*1000000/C12</f>
        <v>537506.08657024975</v>
      </c>
      <c r="D39" s="1">
        <f t="shared" si="4"/>
        <v>606584.78335039236</v>
      </c>
      <c r="E39" s="1">
        <f t="shared" si="4"/>
        <v>784444.50531390379</v>
      </c>
      <c r="F39" s="1">
        <f t="shared" si="4"/>
        <v>871982.66969259339</v>
      </c>
      <c r="G39" s="1">
        <f t="shared" si="4"/>
        <v>822650.62887900253</v>
      </c>
      <c r="H39" s="1">
        <f t="shared" si="4"/>
        <v>768296.37096774194</v>
      </c>
      <c r="I39" s="1">
        <f t="shared" si="4"/>
        <v>1093383.4534126902</v>
      </c>
      <c r="J39" s="1">
        <f t="shared" si="4"/>
        <v>1275325.6283250779</v>
      </c>
      <c r="K39" s="1">
        <f t="shared" si="4"/>
        <v>1699278.4992784993</v>
      </c>
      <c r="L39" s="1">
        <f>L25*1000000/L12</f>
        <v>2116080.9371671993</v>
      </c>
    </row>
    <row r="40" spans="2:12" ht="18.600000000000001" x14ac:dyDescent="0.3">
      <c r="B40" s="7" t="s">
        <v>8</v>
      </c>
      <c r="C40" s="1">
        <v>0</v>
      </c>
      <c r="D40" s="1">
        <v>0</v>
      </c>
      <c r="E40" s="1">
        <v>0</v>
      </c>
      <c r="F40" s="1">
        <v>0</v>
      </c>
      <c r="G40" s="1">
        <v>0</v>
      </c>
      <c r="H40" s="1">
        <f t="shared" ref="H40:K41" si="5">H26*1000000/H13</f>
        <v>1048415.419349444</v>
      </c>
      <c r="I40" s="1">
        <f t="shared" si="5"/>
        <v>1134417.3141831807</v>
      </c>
      <c r="J40" s="1">
        <f t="shared" si="5"/>
        <v>1452508.3740807762</v>
      </c>
      <c r="K40" s="1">
        <f t="shared" si="5"/>
        <v>2028602.6281500082</v>
      </c>
      <c r="L40" s="1">
        <f>L26*1000000/L13</f>
        <v>2590190.5439084126</v>
      </c>
    </row>
    <row r="41" spans="2:12" ht="18.600000000000001" x14ac:dyDescent="0.3">
      <c r="B41" s="7" t="s">
        <v>9</v>
      </c>
      <c r="C41" s="1">
        <v>0</v>
      </c>
      <c r="D41" s="1">
        <v>0</v>
      </c>
      <c r="E41" s="1">
        <v>0</v>
      </c>
      <c r="F41" s="1">
        <v>0</v>
      </c>
      <c r="G41" s="1">
        <v>0</v>
      </c>
      <c r="H41" s="1">
        <f t="shared" si="5"/>
        <v>866918.46256387467</v>
      </c>
      <c r="I41" s="1">
        <f t="shared" si="5"/>
        <v>1033911.3680154142</v>
      </c>
      <c r="J41" s="1">
        <f t="shared" si="5"/>
        <v>1190028.9017341041</v>
      </c>
      <c r="K41" s="1">
        <f t="shared" si="5"/>
        <v>1813186.8131868131</v>
      </c>
      <c r="L41" s="1">
        <f>L27*1000000/L14</f>
        <v>2133750</v>
      </c>
    </row>
    <row r="42" spans="2:12" ht="18.600000000000001" x14ac:dyDescent="0.3">
      <c r="B42" s="7" t="s">
        <v>0</v>
      </c>
      <c r="C42" s="1">
        <v>0</v>
      </c>
      <c r="D42" s="1">
        <v>0</v>
      </c>
      <c r="E42" s="1">
        <v>0</v>
      </c>
      <c r="F42" s="1">
        <v>0</v>
      </c>
      <c r="G42" s="1">
        <v>0</v>
      </c>
      <c r="H42" s="1">
        <v>0</v>
      </c>
      <c r="I42" s="1">
        <v>0</v>
      </c>
      <c r="J42" s="1">
        <v>0</v>
      </c>
      <c r="K42" s="1">
        <f>K28*1000000/K15</f>
        <v>940813.40956340951</v>
      </c>
      <c r="L42" s="1">
        <f>L28*1000000/L15</f>
        <v>1585324.384787472</v>
      </c>
    </row>
    <row r="43" spans="2:12" ht="18.600000000000001" x14ac:dyDescent="0.3">
      <c r="B43" s="7" t="s">
        <v>10</v>
      </c>
      <c r="C43" s="1">
        <v>0</v>
      </c>
      <c r="D43" s="1">
        <v>0</v>
      </c>
      <c r="E43" s="1">
        <v>0</v>
      </c>
      <c r="F43" s="1">
        <v>0</v>
      </c>
      <c r="G43" s="1">
        <v>0</v>
      </c>
      <c r="H43" s="1">
        <v>0</v>
      </c>
      <c r="I43" s="1">
        <v>0</v>
      </c>
      <c r="J43" s="1">
        <f>J29*1000000/J16</f>
        <v>1352711.4120174467</v>
      </c>
      <c r="K43" s="1">
        <f>K29*1000000/K16</f>
        <v>1926246.0495754483</v>
      </c>
      <c r="L43" s="1">
        <f>L29*1000000/L16</f>
        <v>2455140.7831854681</v>
      </c>
    </row>
    <row r="45" spans="2:12" x14ac:dyDescent="0.3">
      <c r="B45" s="2" t="s">
        <v>17</v>
      </c>
    </row>
    <row r="46" spans="2:12" x14ac:dyDescent="0.3">
      <c r="B46" s="2" t="s">
        <v>18</v>
      </c>
    </row>
    <row r="47" spans="2:12" x14ac:dyDescent="0.3">
      <c r="B47" s="2" t="s">
        <v>19</v>
      </c>
    </row>
    <row r="49" spans="2:3" ht="30.6" x14ac:dyDescent="0.3">
      <c r="B49" s="12" t="s">
        <v>21</v>
      </c>
    </row>
    <row r="50" spans="2:3" ht="27.6" x14ac:dyDescent="0.3">
      <c r="B50" s="11" t="s">
        <v>22</v>
      </c>
    </row>
    <row r="58" spans="2:3" x14ac:dyDescent="0.3">
      <c r="C58" s="43"/>
    </row>
    <row r="65" spans="13:13" x14ac:dyDescent="0.3">
      <c r="M65" s="43"/>
    </row>
    <row r="66" spans="13:13" x14ac:dyDescent="0.3">
      <c r="M66" s="43"/>
    </row>
  </sheetData>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24"/>
  <sheetViews>
    <sheetView rightToLeft="1" topLeftCell="A4" workbookViewId="0">
      <selection activeCell="O18" sqref="O18"/>
    </sheetView>
  </sheetViews>
  <sheetFormatPr defaultColWidth="9.109375" defaultRowHeight="16.8" x14ac:dyDescent="0.3"/>
  <cols>
    <col min="1" max="1" width="9.109375" style="1"/>
    <col min="2" max="2" width="25.5546875" style="2" bestFit="1" customWidth="1"/>
    <col min="3" max="3" width="11.109375" style="1" bestFit="1" customWidth="1"/>
    <col min="4" max="4" width="12.109375" style="1" bestFit="1" customWidth="1"/>
    <col min="5" max="5" width="12.33203125" style="1" bestFit="1" customWidth="1"/>
    <col min="6" max="6" width="11.5546875" style="1" bestFit="1" customWidth="1"/>
    <col min="7" max="7" width="11.109375" style="1" bestFit="1" customWidth="1"/>
    <col min="8" max="8" width="11" style="1" bestFit="1" customWidth="1"/>
    <col min="9" max="9" width="12.109375" style="1" bestFit="1" customWidth="1"/>
    <col min="10" max="10" width="11.88671875" style="1" bestFit="1" customWidth="1"/>
    <col min="11" max="11" width="12.33203125" style="1" bestFit="1" customWidth="1"/>
    <col min="12" max="12" width="12.6640625" style="1" bestFit="1" customWidth="1"/>
    <col min="13" max="13" width="12" style="1" bestFit="1" customWidth="1"/>
    <col min="14" max="14" width="12.33203125" style="1" bestFit="1" customWidth="1"/>
    <col min="15" max="16384" width="9.109375" style="1"/>
  </cols>
  <sheetData>
    <row r="1" spans="2:14" ht="18.600000000000001" x14ac:dyDescent="0.3">
      <c r="B1" s="5" t="s">
        <v>12</v>
      </c>
      <c r="C1" s="6">
        <v>1390</v>
      </c>
      <c r="D1" s="6">
        <v>1391</v>
      </c>
      <c r="E1" s="6">
        <v>1392</v>
      </c>
      <c r="F1" s="6">
        <v>1393</v>
      </c>
      <c r="G1" s="6">
        <v>1394</v>
      </c>
      <c r="H1" s="6">
        <v>1395</v>
      </c>
      <c r="I1" s="6">
        <v>1396</v>
      </c>
      <c r="J1" s="6">
        <v>1397</v>
      </c>
      <c r="K1" s="6">
        <v>1398</v>
      </c>
      <c r="L1" s="6">
        <v>1399</v>
      </c>
      <c r="M1" s="6">
        <v>1400</v>
      </c>
      <c r="N1" s="6">
        <v>1401</v>
      </c>
    </row>
    <row r="2" spans="2:14" ht="18.600000000000001" x14ac:dyDescent="0.3">
      <c r="B2" s="7" t="s">
        <v>0</v>
      </c>
      <c r="C2" s="1">
        <v>1601825</v>
      </c>
      <c r="D2" s="1">
        <v>1725681</v>
      </c>
      <c r="E2" s="1">
        <v>1815166</v>
      </c>
      <c r="F2" s="1">
        <v>1810708</v>
      </c>
      <c r="G2" s="1">
        <v>999687</v>
      </c>
      <c r="H2" s="1">
        <v>1413614</v>
      </c>
      <c r="I2" s="1">
        <v>1049025</v>
      </c>
      <c r="J2" s="1">
        <v>1367746</v>
      </c>
      <c r="K2" s="1">
        <v>1163859</v>
      </c>
      <c r="L2" s="1">
        <v>1696933</v>
      </c>
      <c r="M2" s="1">
        <v>1608726</v>
      </c>
      <c r="N2" s="1">
        <f>N3*مفروضات!C3</f>
        <v>1680000</v>
      </c>
    </row>
    <row r="3" spans="2:14" ht="18.600000000000001" x14ac:dyDescent="0.3">
      <c r="B3" s="7" t="s">
        <v>1</v>
      </c>
      <c r="C3" s="1">
        <v>1530221</v>
      </c>
      <c r="D3" s="1">
        <v>1850607</v>
      </c>
      <c r="E3" s="1">
        <v>1938614</v>
      </c>
      <c r="F3" s="1">
        <v>1776454</v>
      </c>
      <c r="G3" s="1">
        <v>1270205</v>
      </c>
      <c r="H3" s="1">
        <v>1505700</v>
      </c>
      <c r="I3" s="1">
        <v>1255235</v>
      </c>
      <c r="J3" s="1">
        <v>1327169</v>
      </c>
      <c r="K3" s="1">
        <v>1283546</v>
      </c>
      <c r="L3" s="1">
        <v>1820992</v>
      </c>
      <c r="M3" s="1">
        <v>1572704</v>
      </c>
      <c r="N3" s="1">
        <f>مفروضات!C2</f>
        <v>1600000</v>
      </c>
    </row>
    <row r="4" spans="2:14" ht="17.399999999999999" thickBot="1" x14ac:dyDescent="0.35">
      <c r="B4" s="8" t="s">
        <v>16</v>
      </c>
      <c r="C4" s="9">
        <v>3132046</v>
      </c>
      <c r="D4" s="9">
        <v>3576288</v>
      </c>
      <c r="E4" s="9">
        <v>3753780</v>
      </c>
      <c r="F4" s="9">
        <v>3587162</v>
      </c>
      <c r="G4" s="9">
        <v>2269892</v>
      </c>
      <c r="H4" s="9">
        <v>2919314</v>
      </c>
      <c r="I4" s="9">
        <v>2304260</v>
      </c>
      <c r="J4" s="9">
        <v>1327169</v>
      </c>
      <c r="K4" s="9">
        <v>1283546</v>
      </c>
      <c r="L4" s="9">
        <v>1820992</v>
      </c>
      <c r="M4" s="9">
        <f>SUM(M2:M3)</f>
        <v>3181430</v>
      </c>
      <c r="N4" s="9">
        <f>SUM(N2:N3)</f>
        <v>3280000</v>
      </c>
    </row>
    <row r="5" spans="2:14" ht="17.399999999999999" thickTop="1" x14ac:dyDescent="0.3"/>
    <row r="6" spans="2:14" ht="18.600000000000001" x14ac:dyDescent="0.3">
      <c r="B6" s="5" t="s">
        <v>13</v>
      </c>
      <c r="C6" s="6">
        <v>1390</v>
      </c>
      <c r="D6" s="6">
        <v>1391</v>
      </c>
      <c r="E6" s="6">
        <v>1392</v>
      </c>
      <c r="F6" s="6">
        <v>1393</v>
      </c>
      <c r="G6" s="6">
        <v>1394</v>
      </c>
      <c r="H6" s="6">
        <v>1395</v>
      </c>
      <c r="I6" s="6">
        <v>1396</v>
      </c>
      <c r="J6" s="6">
        <v>1397</v>
      </c>
      <c r="K6" s="6">
        <v>1398</v>
      </c>
      <c r="L6" s="6">
        <v>1399</v>
      </c>
      <c r="M6" s="6">
        <v>1400</v>
      </c>
      <c r="N6" s="6">
        <v>1401</v>
      </c>
    </row>
    <row r="7" spans="2:14" ht="18.600000000000001" x14ac:dyDescent="0.3">
      <c r="B7" s="7" t="s">
        <v>23</v>
      </c>
      <c r="C7" s="4">
        <v>1496690</v>
      </c>
      <c r="D7" s="4">
        <v>1847134</v>
      </c>
      <c r="E7" s="4">
        <v>1948481</v>
      </c>
      <c r="F7" s="4">
        <v>1785519</v>
      </c>
      <c r="G7" s="4">
        <v>1260249</v>
      </c>
      <c r="H7" s="4">
        <v>1503198</v>
      </c>
      <c r="I7" s="4">
        <v>1264730</v>
      </c>
      <c r="J7" s="4">
        <v>1317428</v>
      </c>
      <c r="K7" s="4">
        <v>1283543</v>
      </c>
      <c r="L7" s="4">
        <v>1820394</v>
      </c>
      <c r="M7" s="4">
        <f>1534411+36906</f>
        <v>1571317</v>
      </c>
      <c r="N7" s="4">
        <f>N3</f>
        <v>1600000</v>
      </c>
    </row>
    <row r="8" spans="2:14" ht="18.600000000000001" x14ac:dyDescent="0.3">
      <c r="B8" s="7" t="s">
        <v>0</v>
      </c>
      <c r="C8" s="4">
        <v>0</v>
      </c>
      <c r="D8" s="4">
        <v>0</v>
      </c>
      <c r="E8" s="4">
        <v>0</v>
      </c>
      <c r="F8" s="4">
        <v>0</v>
      </c>
      <c r="G8" s="4">
        <v>0</v>
      </c>
      <c r="H8" s="4">
        <v>0</v>
      </c>
      <c r="I8" s="4">
        <v>0</v>
      </c>
      <c r="J8" s="4">
        <v>0</v>
      </c>
      <c r="K8" s="4">
        <v>15392</v>
      </c>
      <c r="L8" s="4">
        <v>11175</v>
      </c>
      <c r="M8" s="4">
        <f>65170</f>
        <v>65170</v>
      </c>
      <c r="N8" s="4">
        <v>0</v>
      </c>
    </row>
    <row r="9" spans="2:14" ht="17.399999999999999" thickBot="1" x14ac:dyDescent="0.35">
      <c r="B9" s="8" t="s">
        <v>16</v>
      </c>
      <c r="C9" s="9">
        <v>1496690</v>
      </c>
      <c r="D9" s="9">
        <v>1847134</v>
      </c>
      <c r="E9" s="9">
        <v>1948481</v>
      </c>
      <c r="F9" s="9">
        <v>1785519</v>
      </c>
      <c r="G9" s="9">
        <v>1260249</v>
      </c>
      <c r="H9" s="9">
        <v>1503198</v>
      </c>
      <c r="I9" s="9">
        <v>1264730</v>
      </c>
      <c r="J9" s="9">
        <v>1317428</v>
      </c>
      <c r="K9" s="9">
        <v>1298936</v>
      </c>
      <c r="L9" s="9">
        <v>1831569</v>
      </c>
      <c r="M9" s="9">
        <f>SUM(M7:M8)</f>
        <v>1636487</v>
      </c>
      <c r="N9" s="9">
        <f>SUM(N7:N8)</f>
        <v>1600000</v>
      </c>
    </row>
    <row r="10" spans="2:14" ht="17.399999999999999" thickTop="1" x14ac:dyDescent="0.3"/>
    <row r="11" spans="2:14" ht="18.600000000000001" x14ac:dyDescent="0.3">
      <c r="B11" s="5" t="s">
        <v>14</v>
      </c>
      <c r="C11" s="6">
        <v>1390</v>
      </c>
      <c r="D11" s="6">
        <v>1391</v>
      </c>
      <c r="E11" s="6">
        <v>1392</v>
      </c>
      <c r="F11" s="6">
        <v>1393</v>
      </c>
      <c r="G11" s="6">
        <v>1394</v>
      </c>
      <c r="H11" s="6">
        <v>1395</v>
      </c>
      <c r="I11" s="6">
        <v>1396</v>
      </c>
      <c r="J11" s="6">
        <v>1397</v>
      </c>
      <c r="K11" s="6">
        <v>1398</v>
      </c>
      <c r="L11" s="6">
        <v>1399</v>
      </c>
      <c r="M11" s="6">
        <f>M6</f>
        <v>1400</v>
      </c>
      <c r="N11" s="6">
        <f>N6</f>
        <v>1401</v>
      </c>
    </row>
    <row r="12" spans="2:14" ht="18.600000000000001" x14ac:dyDescent="0.3">
      <c r="B12" s="7" t="s">
        <v>23</v>
      </c>
      <c r="C12" s="4">
        <v>895158</v>
      </c>
      <c r="D12" s="4">
        <v>1296590</v>
      </c>
      <c r="E12" s="4">
        <v>1759706</v>
      </c>
      <c r="F12" s="4">
        <v>1779496</v>
      </c>
      <c r="G12" s="4">
        <v>1105205</v>
      </c>
      <c r="H12" s="4">
        <v>1216539</v>
      </c>
      <c r="I12" s="4">
        <v>1374359</v>
      </c>
      <c r="J12" s="4">
        <v>1823141</v>
      </c>
      <c r="K12" s="4">
        <v>2369934</v>
      </c>
      <c r="L12" s="4">
        <v>4374307</v>
      </c>
      <c r="M12" s="4">
        <v>7142746</v>
      </c>
      <c r="N12" s="4">
        <f>N7*N17/1000000</f>
        <v>10400000</v>
      </c>
    </row>
    <row r="13" spans="2:14" ht="18.600000000000001" x14ac:dyDescent="0.3">
      <c r="B13" s="7" t="s">
        <v>0</v>
      </c>
      <c r="C13" s="4">
        <v>0</v>
      </c>
      <c r="D13" s="4">
        <v>0</v>
      </c>
      <c r="E13" s="4">
        <v>0</v>
      </c>
      <c r="F13" s="4">
        <v>0</v>
      </c>
      <c r="G13" s="4">
        <v>0</v>
      </c>
      <c r="H13" s="4">
        <v>0</v>
      </c>
      <c r="I13" s="4">
        <v>0</v>
      </c>
      <c r="J13" s="4">
        <v>0</v>
      </c>
      <c r="K13" s="4">
        <v>14481</v>
      </c>
      <c r="L13" s="4">
        <v>17716</v>
      </c>
      <c r="M13" s="4">
        <v>363585</v>
      </c>
      <c r="N13" s="4">
        <v>0</v>
      </c>
    </row>
    <row r="14" spans="2:14" ht="17.399999999999999" thickBot="1" x14ac:dyDescent="0.35">
      <c r="B14" s="8" t="s">
        <v>16</v>
      </c>
      <c r="C14" s="9">
        <v>895158</v>
      </c>
      <c r="D14" s="9">
        <v>1296590</v>
      </c>
      <c r="E14" s="9">
        <v>1759706</v>
      </c>
      <c r="F14" s="9">
        <v>1779496</v>
      </c>
      <c r="G14" s="9">
        <v>1105205</v>
      </c>
      <c r="H14" s="9">
        <v>1216539</v>
      </c>
      <c r="I14" s="9">
        <v>1374359</v>
      </c>
      <c r="J14" s="9">
        <v>1700836</v>
      </c>
      <c r="K14" s="9">
        <v>2251460</v>
      </c>
      <c r="L14" s="9">
        <v>4346023</v>
      </c>
      <c r="M14" s="9">
        <f>SUM(M12:M13)</f>
        <v>7506331</v>
      </c>
      <c r="N14" s="9">
        <f>SUM(N12:N13)</f>
        <v>10400000</v>
      </c>
    </row>
    <row r="15" spans="2:14" ht="17.399999999999999" thickTop="1" x14ac:dyDescent="0.3"/>
    <row r="16" spans="2:14" ht="18.600000000000001" x14ac:dyDescent="0.3">
      <c r="B16" s="5" t="s">
        <v>15</v>
      </c>
      <c r="C16" s="6">
        <v>1390</v>
      </c>
      <c r="D16" s="6">
        <v>1391</v>
      </c>
      <c r="E16" s="6">
        <v>1392</v>
      </c>
      <c r="F16" s="6">
        <v>1393</v>
      </c>
      <c r="G16" s="6">
        <v>1394</v>
      </c>
      <c r="H16" s="6">
        <v>1395</v>
      </c>
      <c r="I16" s="6">
        <v>1396</v>
      </c>
      <c r="J16" s="6">
        <v>1397</v>
      </c>
      <c r="K16" s="6">
        <v>1398</v>
      </c>
      <c r="L16" s="6">
        <v>1399</v>
      </c>
      <c r="M16" s="6">
        <f>M11</f>
        <v>1400</v>
      </c>
      <c r="N16" s="6">
        <f>N11</f>
        <v>1401</v>
      </c>
    </row>
    <row r="17" spans="2:14" ht="18.600000000000001" x14ac:dyDescent="0.3">
      <c r="B17" s="7" t="s">
        <v>23</v>
      </c>
      <c r="C17" s="1">
        <f>C12*1000000/C7</f>
        <v>598091.78921486752</v>
      </c>
      <c r="D17" s="1">
        <f t="shared" ref="D17:M17" si="0">D12*1000000/D7</f>
        <v>701946.90802075004</v>
      </c>
      <c r="E17" s="1">
        <f t="shared" si="0"/>
        <v>903116.83819344407</v>
      </c>
      <c r="F17" s="1">
        <f t="shared" si="0"/>
        <v>996626.75110150047</v>
      </c>
      <c r="G17" s="1">
        <f t="shared" si="0"/>
        <v>876973.51872526773</v>
      </c>
      <c r="H17" s="1">
        <f t="shared" si="0"/>
        <v>809300.57118223945</v>
      </c>
      <c r="I17" s="1">
        <f t="shared" si="0"/>
        <v>1086681.7423481692</v>
      </c>
      <c r="J17" s="1">
        <f t="shared" si="0"/>
        <v>1383863.8620099162</v>
      </c>
      <c r="K17" s="1">
        <f t="shared" si="0"/>
        <v>1846400.1595583474</v>
      </c>
      <c r="L17" s="1">
        <f t="shared" si="0"/>
        <v>2402945.1865914743</v>
      </c>
      <c r="M17" s="1">
        <f t="shared" si="0"/>
        <v>4545706.5633478155</v>
      </c>
      <c r="N17" s="1">
        <f>مفروضات!C7*10000</f>
        <v>6500000</v>
      </c>
    </row>
    <row r="18" spans="2:14" ht="18.600000000000001" x14ac:dyDescent="0.3">
      <c r="B18" s="7" t="s">
        <v>0</v>
      </c>
      <c r="C18" s="1">
        <v>0</v>
      </c>
      <c r="D18" s="1">
        <v>0</v>
      </c>
      <c r="E18" s="1">
        <v>0</v>
      </c>
      <c r="F18" s="1">
        <v>0</v>
      </c>
      <c r="G18" s="1">
        <v>0</v>
      </c>
      <c r="H18" s="1">
        <v>0</v>
      </c>
      <c r="I18" s="1">
        <v>0</v>
      </c>
      <c r="J18" s="1">
        <v>0</v>
      </c>
      <c r="K18" s="1">
        <f t="shared" ref="K18:M18" si="1">K13*1000000/K8</f>
        <v>940813.40956340951</v>
      </c>
      <c r="L18" s="1">
        <f t="shared" si="1"/>
        <v>1585324.384787472</v>
      </c>
      <c r="M18" s="1">
        <f t="shared" si="1"/>
        <v>5579024.0908393431</v>
      </c>
      <c r="N18" s="1">
        <v>0</v>
      </c>
    </row>
    <row r="20" spans="2:14" ht="18.600000000000001" x14ac:dyDescent="0.3">
      <c r="B20" s="5" t="s">
        <v>10</v>
      </c>
      <c r="C20" s="6">
        <v>1390</v>
      </c>
      <c r="D20" s="6">
        <v>1391</v>
      </c>
      <c r="E20" s="6">
        <v>1392</v>
      </c>
      <c r="F20" s="6">
        <v>1393</v>
      </c>
      <c r="G20" s="6">
        <v>1394</v>
      </c>
      <c r="H20" s="6">
        <v>1395</v>
      </c>
      <c r="I20" s="6">
        <v>1396</v>
      </c>
      <c r="J20" s="6">
        <v>1397</v>
      </c>
      <c r="K20" s="6">
        <v>1398</v>
      </c>
      <c r="L20" s="6">
        <v>1399</v>
      </c>
      <c r="M20" s="6">
        <v>1400</v>
      </c>
      <c r="N20" s="6">
        <v>1401</v>
      </c>
    </row>
    <row r="21" spans="2:14" ht="18.600000000000001" x14ac:dyDescent="0.3">
      <c r="B21" s="7" t="s">
        <v>24</v>
      </c>
      <c r="C21" s="1">
        <v>12000</v>
      </c>
      <c r="D21" s="1">
        <v>24000</v>
      </c>
      <c r="E21" s="1">
        <v>25100</v>
      </c>
      <c r="F21" s="1">
        <v>32000</v>
      </c>
      <c r="G21" s="1">
        <v>33500</v>
      </c>
      <c r="H21" s="1">
        <v>34500</v>
      </c>
      <c r="I21" s="1">
        <v>42000</v>
      </c>
      <c r="J21" s="1">
        <v>80000</v>
      </c>
      <c r="K21" s="1">
        <v>120000</v>
      </c>
      <c r="L21" s="1">
        <v>215000</v>
      </c>
      <c r="M21" s="1">
        <v>230000</v>
      </c>
      <c r="N21" s="1">
        <f>مفروضات!C6</f>
        <v>260000</v>
      </c>
    </row>
    <row r="22" spans="2:14" ht="18.600000000000001" x14ac:dyDescent="0.3">
      <c r="B22" s="7" t="s">
        <v>25</v>
      </c>
      <c r="C22" s="1">
        <f>C17/C21</f>
        <v>49.84098243457229</v>
      </c>
      <c r="D22" s="1">
        <f t="shared" ref="D22:N22" si="2">D17/D21</f>
        <v>29.247787834197918</v>
      </c>
      <c r="E22" s="1">
        <f t="shared" si="2"/>
        <v>35.980750525635223</v>
      </c>
      <c r="F22" s="1">
        <f t="shared" si="2"/>
        <v>31.144585971921888</v>
      </c>
      <c r="G22" s="1">
        <f t="shared" si="2"/>
        <v>26.178313991799037</v>
      </c>
      <c r="H22" s="1">
        <f t="shared" si="2"/>
        <v>23.457987570499693</v>
      </c>
      <c r="I22" s="1">
        <f t="shared" si="2"/>
        <v>25.873374817813552</v>
      </c>
      <c r="J22" s="1">
        <f t="shared" si="2"/>
        <v>17.298298275123951</v>
      </c>
      <c r="K22" s="1">
        <f t="shared" si="2"/>
        <v>15.386667996319561</v>
      </c>
      <c r="L22" s="1">
        <f t="shared" si="2"/>
        <v>11.176489239960345</v>
      </c>
      <c r="M22" s="1">
        <f t="shared" si="2"/>
        <v>19.76394157977311</v>
      </c>
      <c r="N22" s="1">
        <f t="shared" si="2"/>
        <v>25</v>
      </c>
    </row>
    <row r="23" spans="2:14" ht="18.600000000000001" x14ac:dyDescent="0.3">
      <c r="B23" s="7" t="s">
        <v>26</v>
      </c>
      <c r="C23" s="1">
        <v>608.89200000000005</v>
      </c>
      <c r="D23" s="1">
        <v>536.93229166666663</v>
      </c>
      <c r="E23" s="1">
        <v>627.64107569721114</v>
      </c>
      <c r="F23" s="1">
        <v>469.58040625000001</v>
      </c>
      <c r="G23" s="1">
        <v>326.8016417910448</v>
      </c>
      <c r="H23" s="1">
        <v>360.75585507246376</v>
      </c>
      <c r="I23" s="1">
        <v>408.18302380952383</v>
      </c>
      <c r="J23" s="1">
        <v>379.39356249999997</v>
      </c>
      <c r="K23" s="1">
        <v>336.85924999999997</v>
      </c>
      <c r="L23" s="1">
        <v>380.81611627906977</v>
      </c>
      <c r="M23" s="1">
        <v>608.695652173913</v>
      </c>
      <c r="N23" s="1">
        <f>مفروضات!C4</f>
        <v>620</v>
      </c>
    </row>
    <row r="24" spans="2:14" ht="18.600000000000001" x14ac:dyDescent="0.3">
      <c r="B24" s="7" t="s">
        <v>27</v>
      </c>
      <c r="C24" s="13">
        <f>C22/C23</f>
        <v>8.1855209847677884E-2</v>
      </c>
      <c r="D24" s="13">
        <f t="shared" ref="D24:N24" si="3">D22/D23</f>
        <v>5.4472022428398222E-2</v>
      </c>
      <c r="E24" s="13">
        <f t="shared" si="3"/>
        <v>5.7326953124707834E-2</v>
      </c>
      <c r="F24" s="13">
        <f t="shared" si="3"/>
        <v>6.6324287720260666E-2</v>
      </c>
      <c r="G24" s="13">
        <f t="shared" si="3"/>
        <v>8.0104597542191389E-2</v>
      </c>
      <c r="H24" s="13">
        <f t="shared" si="3"/>
        <v>6.5024551204547379E-2</v>
      </c>
      <c r="I24" s="13">
        <f t="shared" si="3"/>
        <v>6.3386699859147522E-2</v>
      </c>
      <c r="J24" s="13">
        <f t="shared" si="3"/>
        <v>4.559460145063466E-2</v>
      </c>
      <c r="K24" s="13">
        <f t="shared" si="3"/>
        <v>4.5676845733995913E-2</v>
      </c>
      <c r="L24" s="13">
        <f t="shared" si="3"/>
        <v>2.9348782160705581E-2</v>
      </c>
      <c r="M24" s="13">
        <f t="shared" si="3"/>
        <v>3.2469332595341543E-2</v>
      </c>
      <c r="N24" s="13">
        <f t="shared" si="3"/>
        <v>4.0322580645161289E-2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7"/>
  <sheetViews>
    <sheetView showGridLines="0" rightToLeft="1" workbookViewId="0">
      <selection activeCell="G19" sqref="G19:G20"/>
    </sheetView>
  </sheetViews>
  <sheetFormatPr defaultColWidth="9.109375" defaultRowHeight="14.4" x14ac:dyDescent="0.3"/>
  <cols>
    <col min="1" max="1" width="38" style="26" bestFit="1" customWidth="1"/>
    <col min="2" max="2" width="13" style="26" customWidth="1"/>
    <col min="3" max="3" width="12.88671875" style="26" customWidth="1"/>
    <col min="4" max="4" width="13.5546875" style="26" customWidth="1"/>
    <col min="5" max="5" width="13.33203125" style="26" customWidth="1"/>
    <col min="6" max="6" width="19.109375" style="26" customWidth="1"/>
    <col min="7" max="7" width="17.6640625" style="26" customWidth="1"/>
    <col min="8" max="8" width="12.44140625" style="26" customWidth="1"/>
    <col min="9" max="9" width="13.6640625" style="26" customWidth="1"/>
    <col min="10" max="16384" width="9.109375" style="26"/>
  </cols>
  <sheetData>
    <row r="1" spans="1:9" ht="18.600000000000001" x14ac:dyDescent="0.3">
      <c r="A1" s="27" t="s">
        <v>61</v>
      </c>
      <c r="B1" s="27" t="s">
        <v>62</v>
      </c>
      <c r="C1" s="27" t="s">
        <v>63</v>
      </c>
      <c r="D1" s="27" t="s">
        <v>64</v>
      </c>
      <c r="E1" s="27" t="s">
        <v>65</v>
      </c>
      <c r="F1" s="36" t="s">
        <v>101</v>
      </c>
      <c r="G1" s="36" t="s">
        <v>102</v>
      </c>
      <c r="H1" s="27" t="s">
        <v>20</v>
      </c>
      <c r="I1" s="27" t="s">
        <v>31</v>
      </c>
    </row>
    <row r="2" spans="1:9" ht="16.8" x14ac:dyDescent="0.3">
      <c r="A2" s="31" t="s">
        <v>66</v>
      </c>
      <c r="B2" s="25">
        <v>104168</v>
      </c>
      <c r="C2" s="25">
        <v>141973</v>
      </c>
      <c r="D2" s="25">
        <v>188584</v>
      </c>
      <c r="E2" s="25">
        <v>337860</v>
      </c>
      <c r="F2" s="25">
        <v>278617</v>
      </c>
      <c r="G2" s="25">
        <f>H2-F2</f>
        <v>261838.83199999994</v>
      </c>
      <c r="H2" s="25">
        <f>0.072*'تولید و فروش (پیش بینی)'!M14</f>
        <v>540455.83199999994</v>
      </c>
      <c r="I2" s="25">
        <f>0.075*'تولید و فروش (پیش بینی)'!N14</f>
        <v>780000</v>
      </c>
    </row>
    <row r="3" spans="1:9" ht="16.8" x14ac:dyDescent="0.3">
      <c r="A3" s="31" t="s">
        <v>67</v>
      </c>
      <c r="B3" s="25">
        <v>21629</v>
      </c>
      <c r="C3" s="25">
        <v>28027</v>
      </c>
      <c r="D3" s="25">
        <v>40717</v>
      </c>
      <c r="E3" s="25">
        <v>54904</v>
      </c>
      <c r="F3" s="25">
        <v>36046</v>
      </c>
      <c r="G3" s="25">
        <f>F3</f>
        <v>36046</v>
      </c>
      <c r="H3" s="25">
        <f>G3+F3</f>
        <v>72092</v>
      </c>
      <c r="I3" s="25">
        <f>(1+مفروضات!C8)*'ساختار بهای تمام شده'!H3</f>
        <v>93719.6</v>
      </c>
    </row>
    <row r="4" spans="1:9" ht="16.8" x14ac:dyDescent="0.3">
      <c r="A4" s="31" t="s">
        <v>68</v>
      </c>
      <c r="B4" s="25">
        <v>754171</v>
      </c>
      <c r="C4" s="25">
        <v>981070</v>
      </c>
      <c r="D4" s="25">
        <v>1125036</v>
      </c>
      <c r="E4" s="25">
        <v>1719815</v>
      </c>
      <c r="F4" s="25">
        <v>1445278</v>
      </c>
      <c r="G4" s="25">
        <f>سربار!G7</f>
        <v>1343734.8</v>
      </c>
      <c r="H4" s="25">
        <f>G4+F4</f>
        <v>2789012.8</v>
      </c>
      <c r="I4" s="25">
        <f>سربار!I7</f>
        <v>4210032.82</v>
      </c>
    </row>
    <row r="5" spans="1:9" ht="16.8" x14ac:dyDescent="0.3">
      <c r="A5" s="32" t="s">
        <v>69</v>
      </c>
      <c r="B5" s="29">
        <v>879968</v>
      </c>
      <c r="C5" s="29">
        <v>1151070</v>
      </c>
      <c r="D5" s="29">
        <v>1354337</v>
      </c>
      <c r="E5" s="29">
        <v>2112579</v>
      </c>
      <c r="F5" s="29">
        <v>1759941</v>
      </c>
      <c r="G5" s="29">
        <f>SUM(G2:G4)</f>
        <v>1641619.632</v>
      </c>
      <c r="H5" s="29">
        <f t="shared" ref="H5:I5" si="0">SUM(H2:H4)</f>
        <v>3401560.6319999998</v>
      </c>
      <c r="I5" s="29">
        <f t="shared" si="0"/>
        <v>5083752.42</v>
      </c>
    </row>
    <row r="6" spans="1:9" ht="16.8" x14ac:dyDescent="0.3">
      <c r="A6" s="31" t="s">
        <v>70</v>
      </c>
      <c r="B6" s="25">
        <v>-41399</v>
      </c>
      <c r="C6" s="25">
        <v>-3194</v>
      </c>
      <c r="D6" s="25">
        <v>0</v>
      </c>
      <c r="E6" s="25">
        <v>0</v>
      </c>
      <c r="F6" s="25">
        <v>0</v>
      </c>
      <c r="G6" s="25">
        <v>0</v>
      </c>
      <c r="H6" s="25">
        <v>0</v>
      </c>
      <c r="I6" s="25">
        <v>0</v>
      </c>
    </row>
    <row r="7" spans="1:9" ht="16.8" x14ac:dyDescent="0.3">
      <c r="A7" s="32" t="s">
        <v>71</v>
      </c>
      <c r="B7" s="29">
        <v>838569</v>
      </c>
      <c r="C7" s="29">
        <v>1147876</v>
      </c>
      <c r="D7" s="29">
        <v>1354337</v>
      </c>
      <c r="E7" s="29">
        <v>2112579</v>
      </c>
      <c r="F7" s="29">
        <v>1759941</v>
      </c>
      <c r="G7" s="29">
        <f>G5+G6</f>
        <v>1641619.632</v>
      </c>
      <c r="H7" s="29">
        <f t="shared" ref="H7:I7" si="1">H5+H6</f>
        <v>3401560.6319999998</v>
      </c>
      <c r="I7" s="29">
        <f t="shared" si="1"/>
        <v>5083752.42</v>
      </c>
    </row>
    <row r="8" spans="1:9" ht="16.8" x14ac:dyDescent="0.3">
      <c r="A8" s="31" t="s">
        <v>72</v>
      </c>
      <c r="B8" s="25">
        <v>211191</v>
      </c>
      <c r="C8" s="25">
        <v>155106</v>
      </c>
      <c r="D8" s="25">
        <v>178293</v>
      </c>
      <c r="E8" s="25" t="s">
        <v>73</v>
      </c>
      <c r="F8" s="25">
        <v>-112151</v>
      </c>
      <c r="G8" s="25">
        <v>0</v>
      </c>
      <c r="H8" s="25"/>
      <c r="I8" s="25"/>
    </row>
    <row r="9" spans="1:9" ht="16.8" x14ac:dyDescent="0.3">
      <c r="A9" s="31" t="s">
        <v>74</v>
      </c>
      <c r="B9" s="25">
        <v>-155106</v>
      </c>
      <c r="C9" s="25">
        <v>-178293</v>
      </c>
      <c r="D9" s="25">
        <v>-220241</v>
      </c>
      <c r="E9" s="25" t="s">
        <v>73</v>
      </c>
      <c r="F9" s="25">
        <v>0</v>
      </c>
      <c r="G9" s="25">
        <v>0</v>
      </c>
      <c r="H9" s="25"/>
      <c r="I9" s="25"/>
    </row>
    <row r="10" spans="1:9" ht="16.8" x14ac:dyDescent="0.3">
      <c r="A10" s="31" t="s">
        <v>75</v>
      </c>
      <c r="B10" s="25">
        <v>0</v>
      </c>
      <c r="C10" s="25">
        <v>0</v>
      </c>
      <c r="D10" s="25">
        <v>0</v>
      </c>
      <c r="E10" s="25">
        <v>0</v>
      </c>
      <c r="F10" s="25">
        <v>0</v>
      </c>
      <c r="G10" s="25">
        <v>0</v>
      </c>
      <c r="H10" s="25"/>
      <c r="I10" s="25"/>
    </row>
    <row r="11" spans="1:9" ht="16.8" x14ac:dyDescent="0.3">
      <c r="A11" s="32" t="s">
        <v>76</v>
      </c>
      <c r="B11" s="29">
        <v>894654</v>
      </c>
      <c r="C11" s="29">
        <v>1124689</v>
      </c>
      <c r="D11" s="29">
        <v>1312389</v>
      </c>
      <c r="E11" s="29">
        <v>2114938</v>
      </c>
      <c r="F11" s="29">
        <v>1647790</v>
      </c>
      <c r="G11" s="29">
        <f>G7+G8+G9+G10</f>
        <v>1641619.632</v>
      </c>
      <c r="H11" s="29">
        <f t="shared" ref="H11:I11" si="2">H7+H8+H9+H10</f>
        <v>3401560.6319999998</v>
      </c>
      <c r="I11" s="29">
        <f t="shared" si="2"/>
        <v>5083752.42</v>
      </c>
    </row>
    <row r="12" spans="1:9" ht="16.8" x14ac:dyDescent="0.3">
      <c r="A12" s="31" t="s">
        <v>77</v>
      </c>
      <c r="B12" s="25">
        <v>18591</v>
      </c>
      <c r="C12" s="25">
        <v>14438</v>
      </c>
      <c r="D12" s="25">
        <v>20774</v>
      </c>
      <c r="E12" s="25">
        <v>22837</v>
      </c>
      <c r="F12" s="25">
        <v>25781</v>
      </c>
      <c r="G12" s="25">
        <f>-F13</f>
        <v>15742</v>
      </c>
      <c r="H12" s="25">
        <v>0</v>
      </c>
      <c r="I12" s="25">
        <v>0</v>
      </c>
    </row>
    <row r="13" spans="1:9" ht="16.8" x14ac:dyDescent="0.3">
      <c r="A13" s="31" t="s">
        <v>78</v>
      </c>
      <c r="B13" s="25">
        <v>-14438</v>
      </c>
      <c r="C13" s="25">
        <v>-20774</v>
      </c>
      <c r="D13" s="25">
        <v>-22837</v>
      </c>
      <c r="E13" s="25">
        <v>-25781</v>
      </c>
      <c r="F13" s="25">
        <v>-15742</v>
      </c>
      <c r="G13" s="25">
        <v>0</v>
      </c>
      <c r="H13" s="25">
        <v>0</v>
      </c>
      <c r="I13" s="25">
        <v>0</v>
      </c>
    </row>
    <row r="14" spans="1:9" ht="16.8" x14ac:dyDescent="0.3">
      <c r="A14" s="32" t="s">
        <v>79</v>
      </c>
      <c r="B14" s="29">
        <v>898807</v>
      </c>
      <c r="C14" s="29">
        <v>1118353</v>
      </c>
      <c r="D14" s="29">
        <v>1310326</v>
      </c>
      <c r="E14" s="29">
        <v>2111994</v>
      </c>
      <c r="F14" s="29">
        <v>1657829</v>
      </c>
      <c r="G14" s="29">
        <f>G11+G12+G13</f>
        <v>1657361.632</v>
      </c>
      <c r="H14" s="29">
        <f>F14+G14</f>
        <v>3315190.6320000002</v>
      </c>
      <c r="I14" s="29">
        <f t="shared" ref="I14" si="3">I11+I12+I13</f>
        <v>5083752.42</v>
      </c>
    </row>
    <row r="15" spans="1:9" ht="16.8" x14ac:dyDescent="0.3">
      <c r="A15" s="31" t="s">
        <v>80</v>
      </c>
      <c r="B15" s="25">
        <v>0</v>
      </c>
      <c r="C15" s="25">
        <v>0</v>
      </c>
      <c r="D15" s="25">
        <v>0</v>
      </c>
      <c r="E15" s="25">
        <v>0</v>
      </c>
      <c r="F15" s="25">
        <v>0</v>
      </c>
      <c r="G15" s="25">
        <v>0</v>
      </c>
      <c r="H15" s="25">
        <v>0</v>
      </c>
      <c r="I15" s="25">
        <v>0</v>
      </c>
    </row>
    <row r="16" spans="1:9" ht="17.399999999999999" thickBot="1" x14ac:dyDescent="0.35">
      <c r="A16" s="33" t="s">
        <v>81</v>
      </c>
      <c r="B16" s="30">
        <v>898807</v>
      </c>
      <c r="C16" s="30">
        <v>1118353</v>
      </c>
      <c r="D16" s="30">
        <v>1310326</v>
      </c>
      <c r="E16" s="30">
        <v>2111994</v>
      </c>
      <c r="F16" s="30">
        <v>1657829</v>
      </c>
      <c r="G16" s="30">
        <f>G14+G15</f>
        <v>1657361.632</v>
      </c>
      <c r="H16" s="30">
        <f>H14+H15</f>
        <v>3315190.6320000002</v>
      </c>
      <c r="I16" s="30">
        <f t="shared" ref="I16" si="4">I14+I15</f>
        <v>5083752.42</v>
      </c>
    </row>
    <row r="17" ht="15" thickTop="1" x14ac:dyDescent="0.3"/>
  </sheetData>
  <phoneticPr fontId="10"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15</vt:i4>
      </vt:variant>
    </vt:vector>
  </HeadingPairs>
  <TitlesOfParts>
    <vt:vector size="15" baseType="lpstr">
      <vt:lpstr>اثر سیمان در بهای ساخت</vt:lpstr>
      <vt:lpstr>پوزولان</vt:lpstr>
      <vt:lpstr>ساختار تولید</vt:lpstr>
      <vt:lpstr>مفروضات</vt:lpstr>
      <vt:lpstr>بورس کالا</vt:lpstr>
      <vt:lpstr>نرخ ماهیانه</vt:lpstr>
      <vt:lpstr>تولید و فروش</vt:lpstr>
      <vt:lpstr>تولید و فروش (پیش بینی)</vt:lpstr>
      <vt:lpstr>ساختار بهای تمام شده</vt:lpstr>
      <vt:lpstr>سربار</vt:lpstr>
      <vt:lpstr>سود و زیان</vt:lpstr>
      <vt:lpstr>گزارش ساروم</vt:lpstr>
      <vt:lpstr>اطلاعات بازار مسکن</vt:lpstr>
      <vt:lpstr>گزارش صنعت</vt:lpstr>
      <vt:lpstr>آنالیز</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Tahlil</dc:creator>
  <cp:lastModifiedBy>Lenovo</cp:lastModifiedBy>
  <dcterms:created xsi:type="dcterms:W3CDTF">2022-04-16T04:57:52Z</dcterms:created>
  <dcterms:modified xsi:type="dcterms:W3CDTF">2022-04-19T16:38:47Z</dcterms:modified>
</cp:coreProperties>
</file>