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فایل کاری\تحلیل بنیادی جدید\تحلیل شرکت ها\پتروشیمی\اوره\کرماشا\فایل تحلیلی\"/>
    </mc:Choice>
  </mc:AlternateContent>
  <bookViews>
    <workbookView xWindow="0" yWindow="0" windowWidth="20490" windowHeight="7755" tabRatio="868" activeTab="2"/>
  </bookViews>
  <sheets>
    <sheet name="توضیحات" sheetId="6" r:id="rId1"/>
    <sheet name="یاداشت ها" sheetId="10" r:id="rId2"/>
    <sheet name="مفروضات " sheetId="4" r:id="rId3"/>
    <sheet name="تولید و فروش" sheetId="2" r:id="rId4"/>
    <sheet name="عملکرد فصلی" sheetId="1" r:id="rId5"/>
    <sheet name="پیش بینی" sheetId="3" r:id="rId6"/>
    <sheet name="مواد" sheetId="7" r:id="rId7"/>
    <sheet name="سربار و عمومی اداری" sheetId="5" r:id="rId8"/>
    <sheet name="بهای تمام شده" sheetId="8" r:id="rId9"/>
    <sheet name="سود (زیان)" sheetId="9" r:id="rId10"/>
  </sheets>
  <calcPr calcId="152511"/>
</workbook>
</file>

<file path=xl/calcChain.xml><?xml version="1.0" encoding="utf-8"?>
<calcChain xmlns="http://schemas.openxmlformats.org/spreadsheetml/2006/main">
  <c r="J8" i="9" l="1"/>
  <c r="I8" i="9"/>
  <c r="F4" i="8" l="1"/>
  <c r="H18" i="5"/>
  <c r="H17" i="5"/>
  <c r="H15" i="5"/>
  <c r="H14" i="5"/>
  <c r="H13" i="5"/>
  <c r="H9" i="5"/>
  <c r="H8" i="5"/>
  <c r="H6" i="5"/>
  <c r="H7" i="5"/>
  <c r="H5" i="5"/>
  <c r="H4" i="5"/>
  <c r="H3" i="5"/>
  <c r="H2" i="5"/>
  <c r="F3" i="8"/>
  <c r="D2" i="7"/>
  <c r="D14" i="3"/>
  <c r="E13" i="4"/>
  <c r="E14" i="4" s="1"/>
  <c r="E8" i="3" s="1"/>
  <c r="E9" i="3"/>
  <c r="E10" i="3"/>
  <c r="E4" i="3"/>
  <c r="E3" i="3"/>
  <c r="E2" i="3"/>
  <c r="E32" i="4"/>
  <c r="E29" i="4"/>
  <c r="E26" i="4"/>
  <c r="G22" i="4"/>
  <c r="E22" i="4" s="1"/>
  <c r="D5" i="7" s="1"/>
  <c r="D8" i="7" s="1"/>
  <c r="D9" i="7" s="1"/>
  <c r="F2" i="8" s="1"/>
  <c r="F5" i="8" s="1"/>
  <c r="F7" i="8" s="1"/>
  <c r="F11" i="8" s="1"/>
  <c r="F14" i="8" s="1"/>
  <c r="F16" i="8" s="1"/>
  <c r="K3" i="9" s="1"/>
  <c r="E18" i="4"/>
  <c r="E19" i="4"/>
  <c r="E20" i="4"/>
  <c r="E15" i="4"/>
  <c r="E16" i="4"/>
  <c r="E10" i="4"/>
  <c r="E5" i="4"/>
  <c r="E6" i="4" s="1"/>
  <c r="E22" i="3" s="1"/>
  <c r="E15" i="3" s="1"/>
  <c r="G18" i="9"/>
  <c r="G4" i="9"/>
  <c r="G16" i="9" s="1"/>
  <c r="D13" i="9"/>
  <c r="E13" i="9"/>
  <c r="F13" i="9"/>
  <c r="H13" i="9"/>
  <c r="C13" i="9"/>
  <c r="H19" i="9"/>
  <c r="F19" i="9"/>
  <c r="E19" i="9"/>
  <c r="D19" i="9"/>
  <c r="C19" i="9"/>
  <c r="H18" i="9"/>
  <c r="F18" i="9"/>
  <c r="E18" i="9"/>
  <c r="D18" i="9"/>
  <c r="C18" i="9"/>
  <c r="H17" i="9"/>
  <c r="F17" i="9"/>
  <c r="E17" i="9"/>
  <c r="D17" i="9"/>
  <c r="C17" i="9"/>
  <c r="H16" i="9"/>
  <c r="F16" i="9"/>
  <c r="E16" i="9"/>
  <c r="D16" i="9"/>
  <c r="C16" i="9"/>
  <c r="J9" i="9"/>
  <c r="C14" i="8"/>
  <c r="B14" i="8"/>
  <c r="C12" i="8"/>
  <c r="C11" i="8"/>
  <c r="B11" i="8"/>
  <c r="C7" i="8"/>
  <c r="B7" i="8"/>
  <c r="C5" i="8"/>
  <c r="B5" i="8"/>
  <c r="E3" i="8"/>
  <c r="D3" i="8"/>
  <c r="D12" i="8"/>
  <c r="C5" i="7"/>
  <c r="B5" i="7"/>
  <c r="G8" i="5"/>
  <c r="G7" i="5"/>
  <c r="F5" i="5"/>
  <c r="G5" i="5" s="1"/>
  <c r="F7" i="5"/>
  <c r="F8" i="5"/>
  <c r="F6" i="5"/>
  <c r="G6" i="5" s="1"/>
  <c r="F2" i="5"/>
  <c r="G2" i="5" s="1"/>
  <c r="F3" i="5"/>
  <c r="G3" i="5" s="1"/>
  <c r="E25" i="5"/>
  <c r="C25" i="5"/>
  <c r="D25" i="5"/>
  <c r="B25" i="5"/>
  <c r="D3" i="3"/>
  <c r="C3" i="3"/>
  <c r="D2" i="3"/>
  <c r="D4" i="3" s="1"/>
  <c r="C2" i="3"/>
  <c r="G18" i="5"/>
  <c r="G13" i="5"/>
  <c r="F13" i="5"/>
  <c r="F18" i="5"/>
  <c r="E24" i="5"/>
  <c r="C24" i="5"/>
  <c r="D24" i="5"/>
  <c r="B24" i="5"/>
  <c r="F14" i="5"/>
  <c r="G14" i="5" s="1"/>
  <c r="E23" i="5"/>
  <c r="C23" i="5"/>
  <c r="D23" i="5"/>
  <c r="B23" i="5"/>
  <c r="B22" i="5"/>
  <c r="E22" i="5"/>
  <c r="E19" i="5"/>
  <c r="C22" i="5"/>
  <c r="D22" i="5"/>
  <c r="E8" i="5"/>
  <c r="E7" i="5"/>
  <c r="E6" i="5"/>
  <c r="D8" i="5"/>
  <c r="D9" i="5"/>
  <c r="D13" i="5"/>
  <c r="B19" i="5"/>
  <c r="C13" i="5"/>
  <c r="C19" i="5" s="1"/>
  <c r="B13" i="5"/>
  <c r="C8" i="5"/>
  <c r="B8" i="5"/>
  <c r="D19" i="5"/>
  <c r="D78" i="2"/>
  <c r="E78" i="2"/>
  <c r="G78" i="2"/>
  <c r="C78" i="2"/>
  <c r="G77" i="2"/>
  <c r="D77" i="2"/>
  <c r="E77" i="2"/>
  <c r="C77" i="2"/>
  <c r="D18" i="4"/>
  <c r="D19" i="4" s="1"/>
  <c r="C18" i="4"/>
  <c r="C19" i="4" s="1"/>
  <c r="D15" i="4"/>
  <c r="D16" i="4" s="1"/>
  <c r="D10" i="3" s="1"/>
  <c r="C15" i="4"/>
  <c r="C9" i="3" s="1"/>
  <c r="D72" i="2"/>
  <c r="E72" i="2"/>
  <c r="G72" i="2"/>
  <c r="H72" i="2"/>
  <c r="I72" i="2"/>
  <c r="C72" i="2"/>
  <c r="D70" i="2"/>
  <c r="E70" i="2"/>
  <c r="G70" i="2"/>
  <c r="H70" i="2"/>
  <c r="I70" i="2"/>
  <c r="C70" i="2"/>
  <c r="D71" i="2"/>
  <c r="E71" i="2"/>
  <c r="G71" i="2"/>
  <c r="H71" i="2"/>
  <c r="I71" i="2"/>
  <c r="C71" i="2"/>
  <c r="C69" i="2"/>
  <c r="D13" i="4"/>
  <c r="D14" i="4" s="1"/>
  <c r="D8" i="3" s="1"/>
  <c r="C13" i="4"/>
  <c r="C14" i="4" s="1"/>
  <c r="C8" i="3" s="1"/>
  <c r="D29" i="4"/>
  <c r="D32" i="4" s="1"/>
  <c r="C29" i="4"/>
  <c r="C16" i="4"/>
  <c r="C10" i="3" s="1"/>
  <c r="D5" i="4"/>
  <c r="D7" i="4" s="1"/>
  <c r="D23" i="3" s="1"/>
  <c r="C5" i="4"/>
  <c r="C7" i="4" s="1"/>
  <c r="C23" i="3" s="1"/>
  <c r="C4" i="3"/>
  <c r="L66" i="2"/>
  <c r="L65" i="2"/>
  <c r="L64" i="2"/>
  <c r="L70" i="2"/>
  <c r="L69" i="2"/>
  <c r="J70" i="2"/>
  <c r="J71" i="2"/>
  <c r="J69" i="2"/>
  <c r="J65" i="2"/>
  <c r="J66" i="2"/>
  <c r="J64" i="2"/>
  <c r="J72" i="2"/>
  <c r="D69" i="2"/>
  <c r="E69" i="2"/>
  <c r="G69" i="2"/>
  <c r="H69" i="2"/>
  <c r="I69" i="2"/>
  <c r="D64" i="2"/>
  <c r="E64" i="2"/>
  <c r="G64" i="2"/>
  <c r="H64" i="2"/>
  <c r="I64" i="2"/>
  <c r="D65" i="2"/>
  <c r="E65" i="2"/>
  <c r="G65" i="2"/>
  <c r="H65" i="2"/>
  <c r="I65" i="2"/>
  <c r="D66" i="2"/>
  <c r="E66" i="2"/>
  <c r="G66" i="2"/>
  <c r="H66" i="2"/>
  <c r="I66" i="2"/>
  <c r="C65" i="2"/>
  <c r="C66" i="2"/>
  <c r="C64" i="2"/>
  <c r="C60" i="2"/>
  <c r="C56" i="2"/>
  <c r="C55" i="2"/>
  <c r="C54" i="2"/>
  <c r="D53" i="2"/>
  <c r="E53" i="2"/>
  <c r="G53" i="2"/>
  <c r="C53" i="2"/>
  <c r="G47" i="2"/>
  <c r="C18" i="2"/>
  <c r="I24" i="2"/>
  <c r="J17" i="2"/>
  <c r="J3" i="2"/>
  <c r="I17" i="2"/>
  <c r="I16" i="2"/>
  <c r="J16" i="2" s="1"/>
  <c r="I15" i="2"/>
  <c r="I22" i="2" s="1"/>
  <c r="J22" i="2" s="1"/>
  <c r="I14" i="2"/>
  <c r="I18" i="2" s="1"/>
  <c r="J18" i="2" s="1"/>
  <c r="I8" i="2"/>
  <c r="I7" i="2"/>
  <c r="J7" i="2" s="1"/>
  <c r="I10" i="2"/>
  <c r="J10" i="2" s="1"/>
  <c r="I9" i="2"/>
  <c r="I23" i="2" s="1"/>
  <c r="I3" i="2"/>
  <c r="I2" i="2"/>
  <c r="I4" i="2" s="1"/>
  <c r="J4" i="2" s="1"/>
  <c r="H15" i="2"/>
  <c r="H22" i="2" s="1"/>
  <c r="H16" i="2"/>
  <c r="H17" i="2"/>
  <c r="H18" i="2"/>
  <c r="H14" i="2"/>
  <c r="H21" i="2" s="1"/>
  <c r="H8" i="2"/>
  <c r="H9" i="2"/>
  <c r="H10" i="2"/>
  <c r="H11" i="2"/>
  <c r="H7" i="2"/>
  <c r="H3" i="2"/>
  <c r="H4" i="2"/>
  <c r="H2" i="2"/>
  <c r="J2" i="2" s="1"/>
  <c r="G4" i="2"/>
  <c r="G34" i="2"/>
  <c r="G37" i="2"/>
  <c r="G36" i="2"/>
  <c r="G35" i="2"/>
  <c r="G18" i="2"/>
  <c r="G11" i="2"/>
  <c r="G31" i="2"/>
  <c r="C47" i="2"/>
  <c r="D47" i="2"/>
  <c r="E47" i="2"/>
  <c r="C34" i="2"/>
  <c r="D34" i="2"/>
  <c r="C35" i="2"/>
  <c r="D35" i="2"/>
  <c r="C36" i="2"/>
  <c r="D36" i="2"/>
  <c r="C37" i="2"/>
  <c r="D37" i="2"/>
  <c r="E35" i="2"/>
  <c r="E36" i="2"/>
  <c r="E37" i="2"/>
  <c r="E34" i="2"/>
  <c r="C31" i="2"/>
  <c r="D31" i="2"/>
  <c r="E31" i="2"/>
  <c r="G56" i="2"/>
  <c r="E56" i="2"/>
  <c r="D56" i="2"/>
  <c r="G55" i="2"/>
  <c r="E55" i="2"/>
  <c r="D55" i="2"/>
  <c r="G54" i="2"/>
  <c r="E54" i="2"/>
  <c r="D54" i="2"/>
  <c r="G46" i="2"/>
  <c r="E46" i="2"/>
  <c r="D46" i="2"/>
  <c r="C46" i="2"/>
  <c r="C21" i="2"/>
  <c r="D21" i="2"/>
  <c r="C22" i="2"/>
  <c r="D22" i="2"/>
  <c r="C23" i="2"/>
  <c r="D23" i="2"/>
  <c r="C24" i="2"/>
  <c r="D24" i="2"/>
  <c r="E22" i="2"/>
  <c r="E23" i="2"/>
  <c r="E24" i="2"/>
  <c r="E21" i="2"/>
  <c r="E21" i="3" l="1"/>
  <c r="E14" i="3" s="1"/>
  <c r="E7" i="3"/>
  <c r="E11" i="3" s="1"/>
  <c r="E8" i="4"/>
  <c r="E24" i="3" s="1"/>
  <c r="E17" i="3" s="1"/>
  <c r="E7" i="4"/>
  <c r="E23" i="3" s="1"/>
  <c r="E16" i="3" s="1"/>
  <c r="C16" i="3"/>
  <c r="D9" i="3"/>
  <c r="C21" i="3"/>
  <c r="D21" i="3"/>
  <c r="D16" i="3"/>
  <c r="G7" i="9"/>
  <c r="C7" i="3"/>
  <c r="D7" i="3"/>
  <c r="D17" i="3"/>
  <c r="E9" i="5"/>
  <c r="C6" i="4"/>
  <c r="C22" i="3" s="1"/>
  <c r="C15" i="3" s="1"/>
  <c r="L72" i="2"/>
  <c r="L71" i="2"/>
  <c r="C8" i="4"/>
  <c r="C24" i="3" s="1"/>
  <c r="C17" i="3" s="1"/>
  <c r="D6" i="4"/>
  <c r="D22" i="3" s="1"/>
  <c r="D15" i="3" s="1"/>
  <c r="D8" i="4"/>
  <c r="D24" i="3" s="1"/>
  <c r="D20" i="4"/>
  <c r="C2" i="7" s="1"/>
  <c r="C8" i="7" s="1"/>
  <c r="C9" i="7" s="1"/>
  <c r="E2" i="8" s="1"/>
  <c r="C20" i="4"/>
  <c r="B2" i="7" s="1"/>
  <c r="B8" i="7" s="1"/>
  <c r="B9" i="7" s="1"/>
  <c r="D2" i="8" s="1"/>
  <c r="C32" i="4"/>
  <c r="J9" i="2"/>
  <c r="I11" i="2"/>
  <c r="J11" i="2" s="1"/>
  <c r="J14" i="2"/>
  <c r="I21" i="2"/>
  <c r="J21" i="2" s="1"/>
  <c r="H23" i="2"/>
  <c r="J23" i="2" s="1"/>
  <c r="H24" i="2"/>
  <c r="J24" i="2" s="1"/>
  <c r="G60" i="2"/>
  <c r="D60" i="2"/>
  <c r="E60" i="2"/>
  <c r="G101" i="1"/>
  <c r="G102" i="1"/>
  <c r="G103" i="1"/>
  <c r="G98" i="1"/>
  <c r="G93" i="1"/>
  <c r="G89" i="1"/>
  <c r="G86" i="1"/>
  <c r="G88" i="1" s="1"/>
  <c r="G87" i="1"/>
  <c r="G78" i="1"/>
  <c r="G79" i="1"/>
  <c r="G80" i="1"/>
  <c r="G81" i="1"/>
  <c r="G82" i="1"/>
  <c r="G83" i="1"/>
  <c r="G76" i="1"/>
  <c r="G77" i="1"/>
  <c r="G68" i="1"/>
  <c r="G69" i="1"/>
  <c r="G70" i="1"/>
  <c r="G71" i="1"/>
  <c r="G72" i="1"/>
  <c r="G73" i="1"/>
  <c r="G66" i="1"/>
  <c r="G67" i="1"/>
  <c r="G63" i="1"/>
  <c r="G53" i="1"/>
  <c r="G55" i="1" s="1"/>
  <c r="G47" i="1"/>
  <c r="G45" i="1"/>
  <c r="G46" i="1"/>
  <c r="G42" i="1"/>
  <c r="G41" i="1"/>
  <c r="G40" i="1"/>
  <c r="G37" i="1"/>
  <c r="G32" i="1"/>
  <c r="G24" i="1"/>
  <c r="G25" i="1"/>
  <c r="G26" i="1"/>
  <c r="G27" i="1"/>
  <c r="G16" i="1"/>
  <c r="G17" i="1"/>
  <c r="G18" i="1"/>
  <c r="G19" i="1"/>
  <c r="E18" i="3" l="1"/>
  <c r="H16" i="5" s="1"/>
  <c r="H19" i="5" s="1"/>
  <c r="K5" i="9" s="1"/>
  <c r="D11" i="3"/>
  <c r="G17" i="5"/>
  <c r="G4" i="5"/>
  <c r="G9" i="5" s="1"/>
  <c r="E4" i="8" s="1"/>
  <c r="E5" i="8" s="1"/>
  <c r="E7" i="8" s="1"/>
  <c r="E11" i="8" s="1"/>
  <c r="E14" i="8" s="1"/>
  <c r="E16" i="8" s="1"/>
  <c r="J3" i="9" s="1"/>
  <c r="G15" i="5"/>
  <c r="D18" i="3"/>
  <c r="G17" i="9"/>
  <c r="G10" i="9"/>
  <c r="C11" i="3"/>
  <c r="C14" i="3"/>
  <c r="C18" i="3" s="1"/>
  <c r="I2" i="9" s="1"/>
  <c r="H18" i="3"/>
  <c r="H19" i="3" s="1"/>
  <c r="H20" i="3" s="1"/>
  <c r="H22" i="3" s="1"/>
  <c r="D103" i="1"/>
  <c r="E103" i="1"/>
  <c r="F103" i="1"/>
  <c r="C103" i="1"/>
  <c r="D102" i="1"/>
  <c r="E102" i="1"/>
  <c r="F102" i="1"/>
  <c r="D101" i="1"/>
  <c r="E101" i="1"/>
  <c r="F101" i="1"/>
  <c r="C101" i="1"/>
  <c r="C102" i="1"/>
  <c r="C73" i="1"/>
  <c r="C72" i="1"/>
  <c r="C71" i="1"/>
  <c r="C70" i="1"/>
  <c r="C69" i="1"/>
  <c r="C68" i="1"/>
  <c r="C67" i="1"/>
  <c r="C66" i="1"/>
  <c r="F86" i="1"/>
  <c r="F88" i="1" s="1"/>
  <c r="F89" i="1" s="1"/>
  <c r="E86" i="1"/>
  <c r="D86" i="1"/>
  <c r="C86" i="1"/>
  <c r="C88" i="1" s="1"/>
  <c r="C89" i="1" s="1"/>
  <c r="F73" i="1"/>
  <c r="F83" i="1" s="1"/>
  <c r="E73" i="1"/>
  <c r="E83" i="1" s="1"/>
  <c r="D73" i="1"/>
  <c r="D83" i="1" s="1"/>
  <c r="C83" i="1"/>
  <c r="F72" i="1"/>
  <c r="F82" i="1" s="1"/>
  <c r="E72" i="1"/>
  <c r="E68" i="1" s="1"/>
  <c r="D72" i="1"/>
  <c r="D82" i="1" s="1"/>
  <c r="C82" i="1"/>
  <c r="F71" i="1"/>
  <c r="F81" i="1" s="1"/>
  <c r="E71" i="1"/>
  <c r="E81" i="1" s="1"/>
  <c r="D71" i="1"/>
  <c r="D81" i="1" s="1"/>
  <c r="C81" i="1"/>
  <c r="F70" i="1"/>
  <c r="F80" i="1" s="1"/>
  <c r="E70" i="1"/>
  <c r="E80" i="1" s="1"/>
  <c r="D70" i="1"/>
  <c r="D80" i="1" s="1"/>
  <c r="C80" i="1"/>
  <c r="F69" i="1"/>
  <c r="F79" i="1" s="1"/>
  <c r="F78" i="1" s="1"/>
  <c r="E69" i="1"/>
  <c r="E79" i="1" s="1"/>
  <c r="D69" i="1"/>
  <c r="D79" i="1" s="1"/>
  <c r="D78" i="1" s="1"/>
  <c r="C79" i="1"/>
  <c r="C78" i="1" s="1"/>
  <c r="F68" i="1"/>
  <c r="D68" i="1"/>
  <c r="F67" i="1"/>
  <c r="F77" i="1" s="1"/>
  <c r="E67" i="1"/>
  <c r="E77" i="1" s="1"/>
  <c r="D67" i="1"/>
  <c r="D77" i="1" s="1"/>
  <c r="C77" i="1"/>
  <c r="F66" i="1"/>
  <c r="F76" i="1" s="1"/>
  <c r="F87" i="1" s="1"/>
  <c r="E66" i="1"/>
  <c r="E76" i="1" s="1"/>
  <c r="E87" i="1" s="1"/>
  <c r="D66" i="1"/>
  <c r="D76" i="1" s="1"/>
  <c r="D87" i="1" s="1"/>
  <c r="C76" i="1"/>
  <c r="C87" i="1" s="1"/>
  <c r="D47" i="1"/>
  <c r="E47" i="1"/>
  <c r="F47" i="1"/>
  <c r="C47" i="1"/>
  <c r="D45" i="1"/>
  <c r="E45" i="1"/>
  <c r="F45" i="1"/>
  <c r="D46" i="1"/>
  <c r="E46" i="1"/>
  <c r="F46" i="1"/>
  <c r="C46" i="1"/>
  <c r="C45" i="1"/>
  <c r="D42" i="1"/>
  <c r="E42" i="1"/>
  <c r="F42" i="1"/>
  <c r="C42" i="1"/>
  <c r="F27" i="1"/>
  <c r="E27" i="1"/>
  <c r="D27" i="1"/>
  <c r="C27" i="1"/>
  <c r="F26" i="1"/>
  <c r="E26" i="1"/>
  <c r="D26" i="1"/>
  <c r="C26" i="1"/>
  <c r="F25" i="1"/>
  <c r="E25" i="1"/>
  <c r="D25" i="1"/>
  <c r="C25" i="1"/>
  <c r="F24" i="1"/>
  <c r="E24" i="1"/>
  <c r="D24" i="1"/>
  <c r="C24" i="1"/>
  <c r="F19" i="1"/>
  <c r="E19" i="1"/>
  <c r="D19" i="1"/>
  <c r="C19" i="1"/>
  <c r="F18" i="1"/>
  <c r="E18" i="1"/>
  <c r="D18" i="1"/>
  <c r="C18" i="1"/>
  <c r="F17" i="1"/>
  <c r="E17" i="1"/>
  <c r="D17" i="1"/>
  <c r="C17" i="1"/>
  <c r="F16" i="1"/>
  <c r="E16" i="1"/>
  <c r="D16" i="1"/>
  <c r="C16" i="1"/>
  <c r="K2" i="9" l="1"/>
  <c r="K4" i="9" s="1"/>
  <c r="K16" i="9" s="1"/>
  <c r="J2" i="9"/>
  <c r="J4" i="9" s="1"/>
  <c r="G16" i="5"/>
  <c r="G19" i="5" s="1"/>
  <c r="J5" i="9" s="1"/>
  <c r="G19" i="9"/>
  <c r="G12" i="9"/>
  <c r="F4" i="5"/>
  <c r="F9" i="5" s="1"/>
  <c r="D4" i="8" s="1"/>
  <c r="D5" i="8" s="1"/>
  <c r="D7" i="8" s="1"/>
  <c r="D11" i="8" s="1"/>
  <c r="D14" i="8" s="1"/>
  <c r="D16" i="8" s="1"/>
  <c r="I3" i="9" s="1"/>
  <c r="I4" i="9" s="1"/>
  <c r="F17" i="5"/>
  <c r="F15" i="5"/>
  <c r="G18" i="3"/>
  <c r="G19" i="3" s="1"/>
  <c r="G20" i="3" s="1"/>
  <c r="G22" i="3" s="1"/>
  <c r="F16" i="5"/>
  <c r="D88" i="1"/>
  <c r="D89" i="1" s="1"/>
  <c r="E88" i="1"/>
  <c r="E89" i="1" s="1"/>
  <c r="E82" i="1"/>
  <c r="E78" i="1" s="1"/>
  <c r="K7" i="9" l="1"/>
  <c r="K10" i="9" s="1"/>
  <c r="K17" i="9"/>
  <c r="I16" i="9"/>
  <c r="J7" i="9"/>
  <c r="J16" i="9"/>
  <c r="G13" i="9"/>
  <c r="F19" i="5"/>
  <c r="I5" i="9" s="1"/>
  <c r="I7" i="9" s="1"/>
  <c r="K11" i="9" l="1"/>
  <c r="K19" i="9" s="1"/>
  <c r="I10" i="9"/>
  <c r="I17" i="9"/>
  <c r="J10" i="9"/>
  <c r="J17" i="9"/>
  <c r="K12" i="9" l="1"/>
  <c r="K13" i="9" s="1"/>
  <c r="E40" i="4" s="1"/>
  <c r="J11" i="9"/>
  <c r="J19" i="9" s="1"/>
  <c r="J12" i="9"/>
  <c r="I11" i="9"/>
  <c r="I19" i="9" s="1"/>
  <c r="I12" i="9" l="1"/>
  <c r="I18" i="9" s="1"/>
  <c r="K18" i="9"/>
  <c r="J13" i="9"/>
  <c r="D40" i="4" s="1"/>
  <c r="J18" i="9"/>
  <c r="I13" i="9"/>
  <c r="C40" i="4" s="1"/>
</calcChain>
</file>

<file path=xl/comments1.xml><?xml version="1.0" encoding="utf-8"?>
<comments xmlns="http://schemas.openxmlformats.org/spreadsheetml/2006/main">
  <authors>
    <author>HAMID</author>
  </authors>
  <commentList>
    <comment ref="K8" authorId="0" shapeId="0">
      <text>
        <r>
          <rPr>
            <b/>
            <sz val="9"/>
            <color indexed="81"/>
            <rFont val="Tahoma"/>
            <family val="2"/>
          </rPr>
          <t>شرکت در راستای طرح توسعه در تلاش برای دریافت وام ارزی است که حسب نوع قرارداد وام از نظر نرخ، دوره تنفس، دوره بازپرداخت بخش هزینه مالی دستخوش تغییر خواهد بود</t>
        </r>
      </text>
    </comment>
  </commentList>
</comments>
</file>

<file path=xl/sharedStrings.xml><?xml version="1.0" encoding="utf-8"?>
<sst xmlns="http://schemas.openxmlformats.org/spreadsheetml/2006/main" count="489" uniqueCount="177">
  <si>
    <t>فروش</t>
  </si>
  <si>
    <t>بهای تمام شده کالای فروش رفته</t>
  </si>
  <si>
    <t>سود (زیان) ناخالص</t>
  </si>
  <si>
    <t>هزینه های عمومی, اداری و تشکیلاتی</t>
  </si>
  <si>
    <t>خالص سایر درامدها (هزینه ها) ی عملیاتی</t>
  </si>
  <si>
    <t>سود (زیان) عملیاتی</t>
  </si>
  <si>
    <t>هزینه های مالی</t>
  </si>
  <si>
    <t>خالص سایر درامدها و هزینه های غیرعملیاتی</t>
  </si>
  <si>
    <t>سود (زیان) خالص عملیات در حال تداوم قبل از مالیات</t>
  </si>
  <si>
    <t>مالیات</t>
  </si>
  <si>
    <t>سود (زیان) خالص</t>
  </si>
  <si>
    <t>سرمایه</t>
  </si>
  <si>
    <t>سود هر سهم بر اساس آخرین سرمایه</t>
  </si>
  <si>
    <t>عملکرد ریالی شرکت</t>
  </si>
  <si>
    <t>بهار 99</t>
  </si>
  <si>
    <t>تابستان 99</t>
  </si>
  <si>
    <t>پاییز 99</t>
  </si>
  <si>
    <t>زمستان 99</t>
  </si>
  <si>
    <t>حاشیه سود (زیان) ناخالص</t>
  </si>
  <si>
    <t>حاشیه سود (زیان) عملیاتی</t>
  </si>
  <si>
    <t>حاشیه سود (زیان) خالص</t>
  </si>
  <si>
    <t>نرخ موثر مالیات</t>
  </si>
  <si>
    <t>نرخ دلار</t>
  </si>
  <si>
    <t>عملکرد دلاری شرکت</t>
  </si>
  <si>
    <t>اوره</t>
  </si>
  <si>
    <t>آمونیاک</t>
  </si>
  <si>
    <t>مقدار فروش (تن)</t>
  </si>
  <si>
    <t>مبلغ فروش (میلیون ریال)</t>
  </si>
  <si>
    <t>نرخ فروش ( تن / ریال)</t>
  </si>
  <si>
    <t>کل فروش مقداری</t>
  </si>
  <si>
    <t>کل ارزش فروش</t>
  </si>
  <si>
    <t>متوسط نرخ فروش</t>
  </si>
  <si>
    <t>مواد مستقیم مصرفی</t>
  </si>
  <si>
    <t>دستمزد مستقیم تولید</t>
  </si>
  <si>
    <t>سربار تولید</t>
  </si>
  <si>
    <t>جمع</t>
  </si>
  <si>
    <t>هزینه جذب نشده در تولید</t>
  </si>
  <si>
    <t>جمع هزینه های تولید</t>
  </si>
  <si>
    <t>هزینه مواد مصرفی</t>
  </si>
  <si>
    <t>هزینه انرژی (آب، برق، گاز و سوخت)</t>
  </si>
  <si>
    <t>هزینه استهلاک</t>
  </si>
  <si>
    <t>هزینه حقوق و دستمزد</t>
  </si>
  <si>
    <t>سایر هزینه ها</t>
  </si>
  <si>
    <t>هزینه تولید (میلیون ریال)</t>
  </si>
  <si>
    <t>هزینه سربار (میلیون ریال)</t>
  </si>
  <si>
    <t>کل هزینه سربار</t>
  </si>
  <si>
    <t>آنالیز ریالی هزینه به ازای هر تن فروش</t>
  </si>
  <si>
    <t>بهای تمام شده هر تن فروش</t>
  </si>
  <si>
    <t>هزینه تولید هر تن فروش</t>
  </si>
  <si>
    <t>هزینه سربار هر تن فروش</t>
  </si>
  <si>
    <t>هزینه مواد مصرفی هر تن فروش</t>
  </si>
  <si>
    <t>هزینه انرژی هر تن فروش</t>
  </si>
  <si>
    <t>هزینه استهلاک هر تن فروش</t>
  </si>
  <si>
    <t>هزینه حقوق و دستمزد هر تن فروش</t>
  </si>
  <si>
    <t>سایر هزینه های هر تن فروش</t>
  </si>
  <si>
    <t>آنالیز دلاری هزینه به ازای هر تن فروش</t>
  </si>
  <si>
    <t xml:space="preserve">آنالیز حاشیه سود ناخالص دلاری </t>
  </si>
  <si>
    <t>متوسط نرخ فروش دلاری هرتن</t>
  </si>
  <si>
    <t>متوسط بهای تمام شده دلاری هرتن</t>
  </si>
  <si>
    <t>سود (زیان) ناخالص دلاری هر تن</t>
  </si>
  <si>
    <t>مقدار مصرف</t>
  </si>
  <si>
    <t>گاز طبیعی (متر مکعب)</t>
  </si>
  <si>
    <t>کل مقدار مصرف</t>
  </si>
  <si>
    <t>مقدار تولید (تن)</t>
  </si>
  <si>
    <t>کل تولید</t>
  </si>
  <si>
    <t>ضریب مصرف و تبدیل</t>
  </si>
  <si>
    <t>نیاز هر تن آمونیاک به گاز (متر مکعب)</t>
  </si>
  <si>
    <t>نیاز هر تن اوره به گاز (متر مکعب)</t>
  </si>
  <si>
    <t>نیاز هر تن اوره به آمونیاک (تن)</t>
  </si>
  <si>
    <t>بهار 400</t>
  </si>
  <si>
    <t>هزینه حمل و نقل و انتقال</t>
  </si>
  <si>
    <t>خوراک (مواد اولیه) گاز طبیعی</t>
  </si>
  <si>
    <t>نرخ مصرف (متر معکب / ریال)</t>
  </si>
  <si>
    <t>-</t>
  </si>
  <si>
    <t>سال 1397</t>
  </si>
  <si>
    <t>سال 1398</t>
  </si>
  <si>
    <t>سال 1399</t>
  </si>
  <si>
    <t>اوره صادراتی</t>
  </si>
  <si>
    <t>آمونیاک صادراتی</t>
  </si>
  <si>
    <t>اوره داخلی</t>
  </si>
  <si>
    <t>آمونیاک داخلی</t>
  </si>
  <si>
    <t>کل مقدار فروش</t>
  </si>
  <si>
    <t>نرخ فروش (تن / ریال)</t>
  </si>
  <si>
    <t>بهای تمام شده (میلیون ریال)</t>
  </si>
  <si>
    <t>بهار 1400</t>
  </si>
  <si>
    <t>کل بهای تمام شده</t>
  </si>
  <si>
    <t>بهای تمام شده (تن / ریال)</t>
  </si>
  <si>
    <t>تن / ریال</t>
  </si>
  <si>
    <t>اوره (نرخ)</t>
  </si>
  <si>
    <t>آمونیاک (نرخ)</t>
  </si>
  <si>
    <t>اوره (بها)</t>
  </si>
  <si>
    <t>آمونیاک (بها)</t>
  </si>
  <si>
    <t>حاشیه سود</t>
  </si>
  <si>
    <t>نرخ دلار (ریال)</t>
  </si>
  <si>
    <t>دلار</t>
  </si>
  <si>
    <t>تن / دلار</t>
  </si>
  <si>
    <t>ضرایب نرخی</t>
  </si>
  <si>
    <t>متوسط عملکرد 1399</t>
  </si>
  <si>
    <t>ضریب فروش مقداری</t>
  </si>
  <si>
    <t>متوسط عملکرد 4 ماهه 1400</t>
  </si>
  <si>
    <t>%</t>
  </si>
  <si>
    <t>متوسط</t>
  </si>
  <si>
    <t>مقدار فروش کل</t>
  </si>
  <si>
    <t>9 ماهه 1400</t>
  </si>
  <si>
    <t>سال 1401</t>
  </si>
  <si>
    <t>مفروضات</t>
  </si>
  <si>
    <t>مفروضات نرخ دلاری فروش محصولات</t>
  </si>
  <si>
    <t>نرخ اوره جهانی</t>
  </si>
  <si>
    <t xml:space="preserve">درصد تخفیف </t>
  </si>
  <si>
    <t>نرخ اوره صادراتی ( تن / دلار)</t>
  </si>
  <si>
    <t>نرخ اوره داخلی</t>
  </si>
  <si>
    <t>مفروضات مقدار فروش</t>
  </si>
  <si>
    <t>اوره (تن)</t>
  </si>
  <si>
    <t>آمونیاک (تن)</t>
  </si>
  <si>
    <t>مفروضات مقدار فروش تفکیکی</t>
  </si>
  <si>
    <t>اوره صادراتی (تن)</t>
  </si>
  <si>
    <t>اوره داخلی (تن)</t>
  </si>
  <si>
    <t>آمونیاک صادراتی (تن)</t>
  </si>
  <si>
    <t>آمونیاک داخلی (تن)</t>
  </si>
  <si>
    <t>مفروضات ضریب مصرف مواد</t>
  </si>
  <si>
    <t>آمونیاک مورد نیاز برای تولید اوره (تن)</t>
  </si>
  <si>
    <t>کل آمونیاک مصرفی (فروش رفته + خط تولید اوره) (تن)</t>
  </si>
  <si>
    <t>گاز مورد نیاز برای تولید آمونیاک (متر مکعب)</t>
  </si>
  <si>
    <t>مفروضات نرخ مصرف مواد</t>
  </si>
  <si>
    <t>گاز طبیعی (دلار / متر مکعب)</t>
  </si>
  <si>
    <t>مفروضات اقتصاد کلان و سرمایه گذاری</t>
  </si>
  <si>
    <t>نرخ سپرده</t>
  </si>
  <si>
    <t>نرخ تورم</t>
  </si>
  <si>
    <t xml:space="preserve">صرف ریسک </t>
  </si>
  <si>
    <t>نرخ بازده مورد نظر</t>
  </si>
  <si>
    <t>سیاست تقسیم سود</t>
  </si>
  <si>
    <t>نرخ رشد (تورم بلند مدت)</t>
  </si>
  <si>
    <t>پی بر ای گوردن</t>
  </si>
  <si>
    <t>سایر مفروضات</t>
  </si>
  <si>
    <t>هزینه حمل (تن / دلار)</t>
  </si>
  <si>
    <t>خروجی مفروضات</t>
  </si>
  <si>
    <t>سود هر سهم (ریال)</t>
  </si>
  <si>
    <t>بتا کرماشا</t>
  </si>
  <si>
    <t>هزينه حقوق و دستمزد</t>
  </si>
  <si>
    <t>هزينه استهلاک</t>
  </si>
  <si>
    <t>هزينه مواد مصرفي</t>
  </si>
  <si>
    <t>حق العمل و کميسيون فروش</t>
  </si>
  <si>
    <t>هزينه حمل و نقل و انتقال</t>
  </si>
  <si>
    <t>ساير هزينه ها</t>
  </si>
  <si>
    <t>سربار</t>
  </si>
  <si>
    <t>قطعات یدکی</t>
  </si>
  <si>
    <t>هزينه انرژي (آب، برق، گاز و سوخت) و عمدتاً گاز سوخت</t>
  </si>
  <si>
    <t>تعمیر و نگهداشت</t>
  </si>
  <si>
    <t>عمومی و اداری و فروش</t>
  </si>
  <si>
    <t>کیسه مصرفی و خدمات بسته بندی</t>
  </si>
  <si>
    <t>کیسه مصرفی و خدمات بسته بندی ( تن / دلار)</t>
  </si>
  <si>
    <t>هزینه حق العمل و کمیسیون فروش به فروش (درصد)</t>
  </si>
  <si>
    <t>هزینه انرژی به ازای هر تن فروش (تن / دلار)</t>
  </si>
  <si>
    <t>هزینه انرژی (تن / دلار)</t>
  </si>
  <si>
    <t>مصرف مواد</t>
  </si>
  <si>
    <t>گاز (متر مکعب)</t>
  </si>
  <si>
    <t>نرخ مواد</t>
  </si>
  <si>
    <t>مبلغ مواد</t>
  </si>
  <si>
    <t>بهای مواد</t>
  </si>
  <si>
    <t>مواد مستقيم مصرفي</t>
  </si>
  <si>
    <t>دستمزدمستقيم توليد</t>
  </si>
  <si>
    <t>سربارتوليد</t>
  </si>
  <si>
    <t>هزينه جذب نشده درتوليد</t>
  </si>
  <si>
    <t>جمع هزينه هاي توليد</t>
  </si>
  <si>
    <t>موجودي كالاي درجريان ساخت اول دوره</t>
  </si>
  <si>
    <t>موجودي كالاي درجريان ساخت پايان دوره</t>
  </si>
  <si>
    <t>ضايعات غيرعادي</t>
  </si>
  <si>
    <t>بهاي تمام شده كالاي توليد شده</t>
  </si>
  <si>
    <t>موجودي كالاي ساخته شده اول دوره</t>
  </si>
  <si>
    <t>موجودي كالاي ساخته شده پايان دوره</t>
  </si>
  <si>
    <t>بهاي تمام شده كالاي فروش رفته</t>
  </si>
  <si>
    <t>بهاي تمام شده خدمات ارايه شده</t>
  </si>
  <si>
    <t>جمع بهاي تمام شده</t>
  </si>
  <si>
    <t>دوره مالی</t>
  </si>
  <si>
    <t>سال 1395</t>
  </si>
  <si>
    <t>سال 1396</t>
  </si>
  <si>
    <t>سال 1402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</si>
</sst>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15" x14ac:knownFonts="1">
    <font>
      <sz val="11"/>
      <color rgb="FF333333"/>
      <name val="Calibri"/>
    </font>
    <font>
      <sz val="11"/>
      <color rgb="FF333333"/>
      <name val="Calibri"/>
      <family val="2"/>
    </font>
    <font>
      <b/>
      <sz val="12"/>
      <name val="B Nazanin"/>
      <charset val="178"/>
    </font>
    <font>
      <sz val="12"/>
      <color rgb="FF333333"/>
      <name val="B Nazanin"/>
      <charset val="178"/>
    </font>
    <font>
      <sz val="11"/>
      <color rgb="FF333333"/>
      <name val="B Nazanin"/>
      <charset val="178"/>
    </font>
    <font>
      <b/>
      <sz val="12"/>
      <color rgb="FF0070C0"/>
      <name val="B Nazanin"/>
      <charset val="178"/>
    </font>
    <font>
      <sz val="12"/>
      <name val="B Nazanin"/>
      <charset val="178"/>
    </font>
    <font>
      <b/>
      <sz val="11"/>
      <color rgb="FF333333"/>
      <name val="B Nazanin"/>
      <charset val="178"/>
    </font>
    <font>
      <b/>
      <sz val="12"/>
      <color rgb="FF333333"/>
      <name val="B Nazanin"/>
      <charset val="178"/>
    </font>
    <font>
      <sz val="12"/>
      <color rgb="FFFF0000"/>
      <name val="B Nazanin"/>
      <charset val="178"/>
    </font>
    <font>
      <b/>
      <sz val="11"/>
      <color rgb="FF00B050"/>
      <name val="B Nazanin"/>
      <charset val="178"/>
    </font>
    <font>
      <sz val="11"/>
      <color rgb="FF00B050"/>
      <name val="B Nazanin"/>
      <charset val="178"/>
    </font>
    <font>
      <b/>
      <sz val="11"/>
      <color rgb="FFFF0000"/>
      <name val="B Nazanin"/>
      <charset val="178"/>
    </font>
    <font>
      <sz val="11"/>
      <color rgb="FFFF0000"/>
      <name val="B Nazanin"/>
      <charset val="178"/>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rgb="FFF5F5F5"/>
        <bgColor indexed="64"/>
      </patternFill>
    </fill>
    <fill>
      <patternFill patternType="solid">
        <fgColor rgb="FFFFFF00"/>
        <bgColor indexed="64"/>
      </patternFill>
    </fill>
  </fills>
  <borders count="10">
    <border>
      <left/>
      <right/>
      <top/>
      <bottom/>
      <diagonal/>
    </border>
    <border>
      <left/>
      <right/>
      <top/>
      <bottom style="medium">
        <color rgb="FF333333"/>
      </bottom>
      <diagonal/>
    </border>
    <border>
      <left/>
      <right/>
      <top/>
      <bottom/>
      <diagonal/>
    </border>
    <border>
      <left/>
      <right/>
      <top style="thin">
        <color auto="1"/>
      </top>
      <bottom/>
      <diagonal/>
    </border>
    <border>
      <left/>
      <right style="thin">
        <color indexed="64"/>
      </right>
      <top/>
      <bottom style="medium">
        <color rgb="FF333333"/>
      </bottom>
      <diagonal/>
    </border>
    <border>
      <left/>
      <right style="thin">
        <color indexed="64"/>
      </right>
      <top/>
      <bottom/>
      <diagonal/>
    </border>
    <border>
      <left/>
      <right style="thin">
        <color indexed="64"/>
      </right>
      <top style="thin">
        <color auto="1"/>
      </top>
      <bottom/>
      <diagonal/>
    </border>
    <border>
      <left/>
      <right style="thin">
        <color indexed="64"/>
      </right>
      <top style="medium">
        <color rgb="FF333333"/>
      </top>
      <bottom/>
      <diagonal/>
    </border>
    <border>
      <left/>
      <right/>
      <top style="medium">
        <color rgb="FF333333"/>
      </top>
      <bottom style="thin">
        <color indexed="64"/>
      </bottom>
      <diagonal/>
    </border>
    <border>
      <left/>
      <right/>
      <top style="medium">
        <color auto="1"/>
      </top>
      <bottom style="thin">
        <color auto="1"/>
      </bottom>
      <diagonal/>
    </border>
  </borders>
  <cellStyleXfs count="2">
    <xf numFmtId="0" fontId="0" fillId="0" borderId="0"/>
    <xf numFmtId="9" fontId="1" fillId="0" borderId="0" applyFont="0" applyFill="0" applyBorder="0" applyAlignment="0" applyProtection="0"/>
  </cellStyleXfs>
  <cellXfs count="70">
    <xf numFmtId="0" fontId="0" fillId="0" borderId="0" xfId="0"/>
    <xf numFmtId="0" fontId="0" fillId="0" borderId="0" xfId="0"/>
    <xf numFmtId="3" fontId="2" fillId="2" borderId="4" xfId="0" applyNumberFormat="1" applyFont="1" applyFill="1" applyBorder="1" applyAlignment="1">
      <alignment vertical="center"/>
    </xf>
    <xf numFmtId="3" fontId="3" fillId="2" borderId="1" xfId="0" applyNumberFormat="1" applyFont="1" applyFill="1" applyBorder="1" applyAlignment="1">
      <alignment horizontal="center" vertical="center"/>
    </xf>
    <xf numFmtId="3" fontId="4" fillId="2" borderId="5" xfId="0" applyNumberFormat="1" applyFont="1" applyFill="1" applyBorder="1" applyAlignment="1">
      <alignment vertical="center"/>
    </xf>
    <xf numFmtId="3" fontId="4" fillId="2" borderId="2" xfId="0" applyNumberFormat="1" applyFont="1" applyFill="1" applyBorder="1" applyAlignment="1">
      <alignment horizontal="center" vertical="center"/>
    </xf>
    <xf numFmtId="3" fontId="4" fillId="2" borderId="6" xfId="0" applyNumberFormat="1" applyFont="1" applyFill="1" applyBorder="1" applyAlignment="1">
      <alignment vertical="center"/>
    </xf>
    <xf numFmtId="3" fontId="4" fillId="2" borderId="3" xfId="0" applyNumberFormat="1" applyFont="1" applyFill="1" applyBorder="1" applyAlignment="1">
      <alignment horizontal="center" vertical="center"/>
    </xf>
    <xf numFmtId="9" fontId="4" fillId="2" borderId="0" xfId="1" applyFont="1" applyFill="1" applyAlignment="1">
      <alignment horizontal="center" vertical="center"/>
    </xf>
    <xf numFmtId="164" fontId="4" fillId="2" borderId="0" xfId="1" applyNumberFormat="1" applyFont="1" applyFill="1" applyAlignment="1">
      <alignment horizontal="center" vertical="center"/>
    </xf>
    <xf numFmtId="3" fontId="4" fillId="2" borderId="0" xfId="0" applyNumberFormat="1" applyFont="1" applyFill="1" applyAlignment="1">
      <alignment vertical="center"/>
    </xf>
    <xf numFmtId="3" fontId="4" fillId="2" borderId="0" xfId="0" applyNumberFormat="1" applyFont="1" applyFill="1" applyAlignment="1">
      <alignment horizontal="center" vertical="center"/>
    </xf>
    <xf numFmtId="3" fontId="5" fillId="2" borderId="4" xfId="0" applyNumberFormat="1" applyFont="1" applyFill="1" applyBorder="1" applyAlignment="1">
      <alignment vertical="center"/>
    </xf>
    <xf numFmtId="3" fontId="6" fillId="2" borderId="4" xfId="0" applyNumberFormat="1" applyFont="1" applyFill="1" applyBorder="1" applyAlignment="1">
      <alignment horizontal="right" vertical="center"/>
    </xf>
    <xf numFmtId="3" fontId="7" fillId="2" borderId="6"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7" fillId="2" borderId="3" xfId="0" applyNumberFormat="1" applyFont="1" applyFill="1" applyBorder="1" applyAlignment="1">
      <alignment horizontal="center" vertical="center"/>
    </xf>
    <xf numFmtId="3" fontId="4" fillId="2" borderId="6"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0" fontId="0" fillId="0" borderId="0" xfId="0" applyAlignment="1">
      <alignment horizontal="right"/>
    </xf>
    <xf numFmtId="3" fontId="5" fillId="2" borderId="4" xfId="0" applyNumberFormat="1" applyFont="1" applyFill="1" applyBorder="1" applyAlignment="1">
      <alignment horizontal="right" vertical="center"/>
    </xf>
    <xf numFmtId="9" fontId="7" fillId="2" borderId="3" xfId="1" applyNumberFormat="1" applyFont="1" applyFill="1" applyBorder="1" applyAlignment="1">
      <alignment horizontal="center" vertical="center"/>
    </xf>
    <xf numFmtId="165" fontId="4" fillId="2" borderId="2" xfId="0" applyNumberFormat="1" applyFont="1" applyFill="1" applyBorder="1" applyAlignment="1">
      <alignment horizontal="center" vertical="center"/>
    </xf>
    <xf numFmtId="0" fontId="0" fillId="3" borderId="2" xfId="0" applyFill="1" applyBorder="1" applyAlignment="1">
      <alignment horizontal="left" vertical="center"/>
    </xf>
    <xf numFmtId="0" fontId="0" fillId="3" borderId="2" xfId="0" applyFill="1" applyBorder="1" applyAlignment="1">
      <alignment horizontal="right" vertical="center"/>
    </xf>
    <xf numFmtId="3" fontId="8" fillId="2" borderId="1"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xf>
    <xf numFmtId="3" fontId="4" fillId="2" borderId="0" xfId="0" applyNumberFormat="1" applyFont="1" applyFill="1" applyAlignment="1">
      <alignment horizontal="right" vertical="center"/>
    </xf>
    <xf numFmtId="3" fontId="4" fillId="2" borderId="7" xfId="0" applyNumberFormat="1" applyFont="1" applyFill="1" applyBorder="1" applyAlignment="1">
      <alignment horizontal="right" vertical="center"/>
    </xf>
    <xf numFmtId="3" fontId="10" fillId="2" borderId="5" xfId="0" applyNumberFormat="1" applyFont="1" applyFill="1" applyBorder="1" applyAlignment="1">
      <alignment horizontal="right" vertical="center"/>
    </xf>
    <xf numFmtId="3" fontId="10" fillId="2" borderId="0" xfId="0" applyNumberFormat="1" applyFont="1" applyFill="1" applyAlignment="1">
      <alignment horizontal="center" vertical="center"/>
    </xf>
    <xf numFmtId="3" fontId="11" fillId="2" borderId="0" xfId="0" applyNumberFormat="1" applyFont="1" applyFill="1" applyAlignment="1">
      <alignment horizontal="center" vertical="center"/>
    </xf>
    <xf numFmtId="3" fontId="12" fillId="2" borderId="5" xfId="0" applyNumberFormat="1" applyFont="1" applyFill="1" applyBorder="1" applyAlignment="1">
      <alignment horizontal="right" vertical="center"/>
    </xf>
    <xf numFmtId="3" fontId="12" fillId="2" borderId="0" xfId="0" applyNumberFormat="1" applyFont="1" applyFill="1" applyAlignment="1">
      <alignment horizontal="center" vertical="center"/>
    </xf>
    <xf numFmtId="166" fontId="10" fillId="2" borderId="0" xfId="1" applyNumberFormat="1" applyFont="1" applyFill="1" applyAlignment="1">
      <alignment horizontal="center" vertical="center"/>
    </xf>
    <xf numFmtId="3" fontId="8" fillId="2" borderId="1" xfId="0" applyNumberFormat="1" applyFont="1" applyFill="1" applyBorder="1" applyAlignment="1">
      <alignment horizontal="center" vertical="center"/>
    </xf>
    <xf numFmtId="9" fontId="4" fillId="2" borderId="2" xfId="1" applyFont="1" applyFill="1" applyBorder="1" applyAlignment="1">
      <alignment horizontal="center" vertical="center"/>
    </xf>
    <xf numFmtId="3" fontId="13" fillId="2" borderId="2" xfId="0" applyNumberFormat="1" applyFont="1" applyFill="1" applyBorder="1" applyAlignment="1">
      <alignment horizontal="center" vertical="center"/>
    </xf>
    <xf numFmtId="3" fontId="12" fillId="2" borderId="3" xfId="0" applyNumberFormat="1" applyFont="1" applyFill="1" applyBorder="1" applyAlignment="1">
      <alignment horizontal="center" vertical="center"/>
    </xf>
    <xf numFmtId="9" fontId="8" fillId="2" borderId="1" xfId="1" applyFont="1" applyFill="1" applyBorder="1" applyAlignment="1">
      <alignment horizontal="center" vertical="center" wrapText="1"/>
    </xf>
    <xf numFmtId="9" fontId="7" fillId="2" borderId="3" xfId="1" applyFont="1" applyFill="1" applyBorder="1" applyAlignment="1">
      <alignment horizontal="center" vertical="center"/>
    </xf>
    <xf numFmtId="9" fontId="7" fillId="2" borderId="2" xfId="1" applyFont="1" applyFill="1" applyBorder="1" applyAlignment="1">
      <alignment horizontal="center" vertical="center"/>
    </xf>
    <xf numFmtId="9" fontId="7" fillId="0" borderId="0" xfId="1" applyFont="1" applyAlignment="1">
      <alignment horizontal="center"/>
    </xf>
    <xf numFmtId="9" fontId="7" fillId="0" borderId="3" xfId="1" applyFont="1" applyBorder="1" applyAlignment="1">
      <alignment horizontal="center"/>
    </xf>
    <xf numFmtId="3" fontId="4" fillId="2" borderId="2" xfId="0" applyNumberFormat="1" applyFont="1" applyFill="1" applyBorder="1" applyAlignment="1">
      <alignment horizontal="right" vertical="center"/>
    </xf>
    <xf numFmtId="9" fontId="4" fillId="2" borderId="2" xfId="1" applyNumberFormat="1" applyFont="1" applyFill="1" applyBorder="1" applyAlignment="1">
      <alignment horizontal="center" vertical="center"/>
    </xf>
    <xf numFmtId="3" fontId="0" fillId="0" borderId="0" xfId="0" applyNumberFormat="1"/>
    <xf numFmtId="9" fontId="7" fillId="2" borderId="2" xfId="1" applyNumberFormat="1" applyFont="1" applyFill="1" applyBorder="1" applyAlignment="1">
      <alignment horizontal="center" vertical="center"/>
    </xf>
    <xf numFmtId="9" fontId="0" fillId="0" borderId="0" xfId="0" applyNumberFormat="1"/>
    <xf numFmtId="3" fontId="8" fillId="2" borderId="1" xfId="0" applyNumberFormat="1" applyFont="1" applyFill="1" applyBorder="1" applyAlignment="1">
      <alignment horizontal="center" vertical="center" readingOrder="2"/>
    </xf>
    <xf numFmtId="0" fontId="0" fillId="0" borderId="0" xfId="0" applyAlignment="1"/>
    <xf numFmtId="167" fontId="4" fillId="2" borderId="2" xfId="0" applyNumberFormat="1" applyFont="1" applyFill="1" applyBorder="1" applyAlignment="1">
      <alignment horizontal="center" vertical="center"/>
    </xf>
    <xf numFmtId="9" fontId="6" fillId="2" borderId="2" xfId="1" applyFont="1" applyFill="1" applyBorder="1" applyAlignment="1">
      <alignment horizontal="center" vertical="center"/>
    </xf>
    <xf numFmtId="4" fontId="4" fillId="2" borderId="2" xfId="0" applyNumberFormat="1" applyFont="1" applyFill="1" applyBorder="1" applyAlignment="1">
      <alignment horizontal="center" vertical="center"/>
    </xf>
    <xf numFmtId="3" fontId="7" fillId="2" borderId="5" xfId="0" applyNumberFormat="1" applyFont="1" applyFill="1" applyBorder="1" applyAlignment="1">
      <alignment horizontal="right" vertical="center"/>
    </xf>
    <xf numFmtId="3" fontId="7" fillId="2" borderId="2" xfId="0" applyNumberFormat="1" applyFont="1" applyFill="1" applyBorder="1" applyAlignment="1">
      <alignment horizontal="center" vertical="center"/>
    </xf>
    <xf numFmtId="0" fontId="4" fillId="0" borderId="0" xfId="0" applyFont="1" applyAlignment="1">
      <alignment horizontal="center" vertical="center"/>
    </xf>
    <xf numFmtId="167" fontId="4" fillId="2" borderId="0" xfId="0" applyNumberFormat="1" applyFont="1" applyFill="1" applyAlignment="1">
      <alignment horizontal="center" vertical="center"/>
    </xf>
    <xf numFmtId="10" fontId="4" fillId="2" borderId="2" xfId="1" applyNumberFormat="1"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center"/>
    </xf>
    <xf numFmtId="0" fontId="6" fillId="2" borderId="4"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readingOrder="2"/>
    </xf>
    <xf numFmtId="0" fontId="4" fillId="2" borderId="0" xfId="0" applyFont="1" applyFill="1" applyAlignment="1">
      <alignment horizontal="center" vertical="center"/>
    </xf>
    <xf numFmtId="0" fontId="4" fillId="2" borderId="5" xfId="0" applyFont="1" applyFill="1" applyBorder="1" applyAlignment="1">
      <alignment horizontal="right" vertical="center"/>
    </xf>
    <xf numFmtId="0" fontId="4" fillId="2" borderId="6" xfId="0" applyFont="1" applyFill="1" applyBorder="1" applyAlignment="1">
      <alignment horizontal="right" vertical="center"/>
    </xf>
    <xf numFmtId="3" fontId="2" fillId="2" borderId="9"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7" fillId="4" borderId="0" xfId="0" applyNumberFormat="1"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8457</xdr:colOff>
      <xdr:row>14</xdr:row>
      <xdr:rowOff>152048</xdr:rowOff>
    </xdr:to>
    <xdr:pic>
      <xdr:nvPicPr>
        <xdr:cNvPr id="2" name="Picture 1"/>
        <xdr:cNvPicPr>
          <a:picLocks noChangeAspect="1"/>
        </xdr:cNvPicPr>
      </xdr:nvPicPr>
      <xdr:blipFill>
        <a:blip xmlns:r="http://schemas.openxmlformats.org/officeDocument/2006/relationships" r:embed="rId1"/>
        <a:stretch>
          <a:fillRect/>
        </a:stretch>
      </xdr:blipFill>
      <xdr:spPr>
        <a:xfrm>
          <a:off x="9979143543" y="0"/>
          <a:ext cx="8542857" cy="2819048"/>
        </a:xfrm>
        <a:prstGeom prst="rect">
          <a:avLst/>
        </a:prstGeom>
      </xdr:spPr>
    </xdr:pic>
    <xdr:clientData/>
  </xdr:twoCellAnchor>
  <xdr:twoCellAnchor editAs="oneCell">
    <xdr:from>
      <xdr:col>0</xdr:col>
      <xdr:colOff>104775</xdr:colOff>
      <xdr:row>15</xdr:row>
      <xdr:rowOff>76200</xdr:rowOff>
    </xdr:from>
    <xdr:to>
      <xdr:col>10</xdr:col>
      <xdr:colOff>27823</xdr:colOff>
      <xdr:row>33</xdr:row>
      <xdr:rowOff>94819</xdr:rowOff>
    </xdr:to>
    <xdr:pic>
      <xdr:nvPicPr>
        <xdr:cNvPr id="3" name="Picture 2"/>
        <xdr:cNvPicPr>
          <a:picLocks noChangeAspect="1"/>
        </xdr:cNvPicPr>
      </xdr:nvPicPr>
      <xdr:blipFill>
        <a:blip xmlns:r="http://schemas.openxmlformats.org/officeDocument/2006/relationships" r:embed="rId2"/>
        <a:stretch>
          <a:fillRect/>
        </a:stretch>
      </xdr:blipFill>
      <xdr:spPr>
        <a:xfrm>
          <a:off x="9981562577" y="2933700"/>
          <a:ext cx="6019048" cy="3447619"/>
        </a:xfrm>
        <a:prstGeom prst="rect">
          <a:avLst/>
        </a:prstGeom>
      </xdr:spPr>
    </xdr:pic>
    <xdr:clientData/>
  </xdr:twoCellAnchor>
  <xdr:twoCellAnchor editAs="oneCell">
    <xdr:from>
      <xdr:col>0</xdr:col>
      <xdr:colOff>0</xdr:colOff>
      <xdr:row>33</xdr:row>
      <xdr:rowOff>66675</xdr:rowOff>
    </xdr:from>
    <xdr:to>
      <xdr:col>10</xdr:col>
      <xdr:colOff>37333</xdr:colOff>
      <xdr:row>57</xdr:row>
      <xdr:rowOff>142294</xdr:rowOff>
    </xdr:to>
    <xdr:pic>
      <xdr:nvPicPr>
        <xdr:cNvPr id="4" name="Picture 3"/>
        <xdr:cNvPicPr>
          <a:picLocks noChangeAspect="1"/>
        </xdr:cNvPicPr>
      </xdr:nvPicPr>
      <xdr:blipFill>
        <a:blip xmlns:r="http://schemas.openxmlformats.org/officeDocument/2006/relationships" r:embed="rId3"/>
        <a:stretch>
          <a:fillRect/>
        </a:stretch>
      </xdr:blipFill>
      <xdr:spPr>
        <a:xfrm>
          <a:off x="9981553067" y="6353175"/>
          <a:ext cx="6133333" cy="4647619"/>
        </a:xfrm>
        <a:prstGeom prst="rect">
          <a:avLst/>
        </a:prstGeom>
      </xdr:spPr>
    </xdr:pic>
    <xdr:clientData/>
  </xdr:twoCellAnchor>
  <xdr:twoCellAnchor editAs="oneCell">
    <xdr:from>
      <xdr:col>0</xdr:col>
      <xdr:colOff>0</xdr:colOff>
      <xdr:row>58</xdr:row>
      <xdr:rowOff>104775</xdr:rowOff>
    </xdr:from>
    <xdr:to>
      <xdr:col>9</xdr:col>
      <xdr:colOff>589790</xdr:colOff>
      <xdr:row>77</xdr:row>
      <xdr:rowOff>132894</xdr:rowOff>
    </xdr:to>
    <xdr:pic>
      <xdr:nvPicPr>
        <xdr:cNvPr id="5" name="Picture 4"/>
        <xdr:cNvPicPr>
          <a:picLocks noChangeAspect="1"/>
        </xdr:cNvPicPr>
      </xdr:nvPicPr>
      <xdr:blipFill>
        <a:blip xmlns:r="http://schemas.openxmlformats.org/officeDocument/2006/relationships" r:embed="rId4"/>
        <a:stretch>
          <a:fillRect/>
        </a:stretch>
      </xdr:blipFill>
      <xdr:spPr>
        <a:xfrm>
          <a:off x="9981610210" y="11153775"/>
          <a:ext cx="6076190" cy="36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9</xdr:col>
      <xdr:colOff>542171</xdr:colOff>
      <xdr:row>5</xdr:row>
      <xdr:rowOff>37983</xdr:rowOff>
    </xdr:to>
    <xdr:pic>
      <xdr:nvPicPr>
        <xdr:cNvPr id="2" name="Picture 1"/>
        <xdr:cNvPicPr>
          <a:picLocks noChangeAspect="1"/>
        </xdr:cNvPicPr>
      </xdr:nvPicPr>
      <xdr:blipFill>
        <a:blip xmlns:r="http://schemas.openxmlformats.org/officeDocument/2006/relationships" r:embed="rId1"/>
        <a:stretch>
          <a:fillRect/>
        </a:stretch>
      </xdr:blipFill>
      <xdr:spPr>
        <a:xfrm>
          <a:off x="9981657829" y="57150"/>
          <a:ext cx="6028571" cy="933333"/>
        </a:xfrm>
        <a:prstGeom prst="rect">
          <a:avLst/>
        </a:prstGeom>
      </xdr:spPr>
    </xdr:pic>
    <xdr:clientData/>
  </xdr:twoCellAnchor>
  <xdr:twoCellAnchor editAs="oneCell">
    <xdr:from>
      <xdr:col>0</xdr:col>
      <xdr:colOff>0</xdr:colOff>
      <xdr:row>6</xdr:row>
      <xdr:rowOff>66675</xdr:rowOff>
    </xdr:from>
    <xdr:to>
      <xdr:col>9</xdr:col>
      <xdr:colOff>542171</xdr:colOff>
      <xdr:row>23</xdr:row>
      <xdr:rowOff>56746</xdr:rowOff>
    </xdr:to>
    <xdr:pic>
      <xdr:nvPicPr>
        <xdr:cNvPr id="3" name="Picture 2"/>
        <xdr:cNvPicPr>
          <a:picLocks noChangeAspect="1"/>
        </xdr:cNvPicPr>
      </xdr:nvPicPr>
      <xdr:blipFill>
        <a:blip xmlns:r="http://schemas.openxmlformats.org/officeDocument/2006/relationships" r:embed="rId2"/>
        <a:stretch>
          <a:fillRect/>
        </a:stretch>
      </xdr:blipFill>
      <xdr:spPr>
        <a:xfrm>
          <a:off x="9981657829" y="1209675"/>
          <a:ext cx="6028571" cy="32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rightToLeft="1" topLeftCell="A49" workbookViewId="0">
      <selection activeCell="B80" sqref="B80"/>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9"/>
  <sheetViews>
    <sheetView rightToLeft="1" topLeftCell="A4" workbookViewId="0">
      <selection activeCell="N7" sqref="N7"/>
    </sheetView>
  </sheetViews>
  <sheetFormatPr defaultRowHeight="18" x14ac:dyDescent="0.25"/>
  <cols>
    <col min="1" max="1" width="9.140625" style="64"/>
    <col min="2" max="2" width="39.28515625" style="64" bestFit="1" customWidth="1"/>
    <col min="3" max="5" width="9.7109375" style="64" bestFit="1" customWidth="1"/>
    <col min="6" max="6" width="9.85546875" style="64" bestFit="1" customWidth="1"/>
    <col min="7" max="7" width="12.5703125" style="64" customWidth="1"/>
    <col min="8" max="8" width="13.28515625" style="64" customWidth="1"/>
    <col min="9" max="9" width="13.5703125" style="64" customWidth="1"/>
    <col min="10" max="10" width="12.85546875" style="64" customWidth="1"/>
    <col min="11" max="11" width="12.140625" style="64" customWidth="1"/>
    <col min="12" max="16384" width="9.140625" style="64"/>
  </cols>
  <sheetData>
    <row r="1" spans="2:11" ht="19.5" thickBot="1" x14ac:dyDescent="0.3">
      <c r="B1" s="61" t="s">
        <v>173</v>
      </c>
      <c r="C1" s="62" t="s">
        <v>174</v>
      </c>
      <c r="D1" s="62" t="s">
        <v>175</v>
      </c>
      <c r="E1" s="62" t="s">
        <v>74</v>
      </c>
      <c r="F1" s="62" t="s">
        <v>75</v>
      </c>
      <c r="G1" s="62" t="s">
        <v>76</v>
      </c>
      <c r="H1" s="62" t="s">
        <v>84</v>
      </c>
      <c r="I1" s="63" t="s">
        <v>103</v>
      </c>
      <c r="J1" s="62" t="s">
        <v>104</v>
      </c>
      <c r="K1" s="62" t="s">
        <v>176</v>
      </c>
    </row>
    <row r="2" spans="2:11" x14ac:dyDescent="0.25">
      <c r="B2" s="65" t="s">
        <v>0</v>
      </c>
      <c r="C2" s="5">
        <v>4335528</v>
      </c>
      <c r="D2" s="5">
        <v>5593240</v>
      </c>
      <c r="E2" s="5">
        <v>9508850</v>
      </c>
      <c r="F2" s="5">
        <v>14124456</v>
      </c>
      <c r="G2" s="5">
        <v>24014839</v>
      </c>
      <c r="H2" s="5">
        <v>9287246</v>
      </c>
      <c r="I2" s="11">
        <f>'پیش بینی'!C18+4480000</f>
        <v>30089121.279999997</v>
      </c>
      <c r="J2" s="11">
        <f>'پیش بینی'!D18</f>
        <v>52539036.480000004</v>
      </c>
      <c r="K2" s="11">
        <f>'پیش بینی'!E18</f>
        <v>103025787.84</v>
      </c>
    </row>
    <row r="3" spans="2:11" x14ac:dyDescent="0.25">
      <c r="B3" s="65" t="s">
        <v>1</v>
      </c>
      <c r="C3" s="5">
        <v>-2411727</v>
      </c>
      <c r="D3" s="5">
        <v>-2661390</v>
      </c>
      <c r="E3" s="5">
        <v>-3692535</v>
      </c>
      <c r="F3" s="5">
        <v>-5544019</v>
      </c>
      <c r="G3" s="5">
        <v>-7603562</v>
      </c>
      <c r="H3" s="5">
        <v>-2578075</v>
      </c>
      <c r="I3" s="11">
        <f>-'بهای تمام شده'!D16</f>
        <v>-9807253.5599999987</v>
      </c>
      <c r="J3" s="11">
        <f>-'بهای تمام شده'!E16</f>
        <v>-16630366.559999999</v>
      </c>
      <c r="K3" s="11">
        <f>-'بهای تمام شده'!F16</f>
        <v>-32918472.769142851</v>
      </c>
    </row>
    <row r="4" spans="2:11" x14ac:dyDescent="0.25">
      <c r="B4" s="66" t="s">
        <v>2</v>
      </c>
      <c r="C4" s="7">
        <v>1923801</v>
      </c>
      <c r="D4" s="7">
        <v>2931850</v>
      </c>
      <c r="E4" s="7">
        <v>5816315</v>
      </c>
      <c r="F4" s="7">
        <v>8580437</v>
      </c>
      <c r="G4" s="7">
        <f>SUM(G2:G3)</f>
        <v>16411277</v>
      </c>
      <c r="H4" s="7">
        <v>6709171</v>
      </c>
      <c r="I4" s="7">
        <f>I2+I3</f>
        <v>20281867.719999999</v>
      </c>
      <c r="J4" s="7">
        <f>J2+J3</f>
        <v>35908669.920000002</v>
      </c>
      <c r="K4" s="7">
        <f>K2+K3</f>
        <v>70107315.070857152</v>
      </c>
    </row>
    <row r="5" spans="2:11" x14ac:dyDescent="0.25">
      <c r="B5" s="65" t="s">
        <v>3</v>
      </c>
      <c r="C5" s="5">
        <v>-451930</v>
      </c>
      <c r="D5" s="5">
        <v>-608922</v>
      </c>
      <c r="E5" s="5">
        <v>-906563</v>
      </c>
      <c r="F5" s="5">
        <v>-811108</v>
      </c>
      <c r="G5" s="5">
        <v>-1546773</v>
      </c>
      <c r="H5" s="5">
        <v>-578081</v>
      </c>
      <c r="I5" s="11">
        <f>-'سربار و عمومی اداری'!F19</f>
        <v>-1431634.5244800001</v>
      </c>
      <c r="J5" s="11">
        <f>-'سربار و عمومی اداری'!G19</f>
        <v>-2859717.0676799999</v>
      </c>
      <c r="K5" s="11">
        <f>-'سربار و عمومی اداری'!H19</f>
        <v>-5813775.8454400003</v>
      </c>
    </row>
    <row r="6" spans="2:11" x14ac:dyDescent="0.25">
      <c r="B6" s="65" t="s">
        <v>4</v>
      </c>
      <c r="C6" s="5">
        <v>31</v>
      </c>
      <c r="D6" s="5">
        <v>43372</v>
      </c>
      <c r="E6" s="5">
        <v>355205</v>
      </c>
      <c r="F6" s="5">
        <v>334587</v>
      </c>
      <c r="G6" s="5">
        <v>27845</v>
      </c>
      <c r="H6" s="5">
        <v>-262799</v>
      </c>
      <c r="I6" s="11">
        <v>250000</v>
      </c>
      <c r="J6" s="11">
        <v>0</v>
      </c>
      <c r="K6" s="11">
        <v>0</v>
      </c>
    </row>
    <row r="7" spans="2:11" x14ac:dyDescent="0.25">
      <c r="B7" s="66" t="s">
        <v>5</v>
      </c>
      <c r="C7" s="7">
        <v>1471902</v>
      </c>
      <c r="D7" s="7">
        <v>2366300</v>
      </c>
      <c r="E7" s="7">
        <v>5264957</v>
      </c>
      <c r="F7" s="7">
        <v>8103916</v>
      </c>
      <c r="G7" s="7">
        <f>SUM(G4:G6)</f>
        <v>14892349</v>
      </c>
      <c r="H7" s="7">
        <v>5868291</v>
      </c>
      <c r="I7" s="7">
        <f>SUM(I4:I6)</f>
        <v>19100233.195519999</v>
      </c>
      <c r="J7" s="7">
        <f>SUM(J4:J6)</f>
        <v>33048952.852320001</v>
      </c>
      <c r="K7" s="7">
        <f>SUM(K4:K6)</f>
        <v>64293539.225417152</v>
      </c>
    </row>
    <row r="8" spans="2:11" ht="19.5" x14ac:dyDescent="0.25">
      <c r="B8" s="65" t="s">
        <v>6</v>
      </c>
      <c r="C8" s="5">
        <v>0</v>
      </c>
      <c r="D8" s="5">
        <v>0</v>
      </c>
      <c r="E8" s="5">
        <v>0</v>
      </c>
      <c r="F8" s="5">
        <v>0</v>
      </c>
      <c r="G8" s="5">
        <v>-173976</v>
      </c>
      <c r="H8" s="5">
        <v>-70253</v>
      </c>
      <c r="I8" s="11">
        <f>H8*3.8</f>
        <v>-266961.39999999997</v>
      </c>
      <c r="J8" s="11">
        <f>I8*2</f>
        <v>-533922.79999999993</v>
      </c>
      <c r="K8" s="69">
        <v>0</v>
      </c>
    </row>
    <row r="9" spans="2:11" x14ac:dyDescent="0.25">
      <c r="B9" s="65" t="s">
        <v>7</v>
      </c>
      <c r="C9" s="5">
        <v>448853</v>
      </c>
      <c r="D9" s="5">
        <v>432852</v>
      </c>
      <c r="E9" s="5">
        <v>681357</v>
      </c>
      <c r="F9" s="5">
        <v>1073090</v>
      </c>
      <c r="G9" s="5">
        <v>-2285681</v>
      </c>
      <c r="H9" s="5">
        <v>-544702</v>
      </c>
      <c r="I9" s="11">
        <v>0</v>
      </c>
      <c r="J9" s="11">
        <f>(1+0.3)*(I9+H9)</f>
        <v>-708112.6</v>
      </c>
      <c r="K9" s="11">
        <v>0</v>
      </c>
    </row>
    <row r="10" spans="2:11" x14ac:dyDescent="0.25">
      <c r="B10" s="66" t="s">
        <v>8</v>
      </c>
      <c r="C10" s="7">
        <v>1920755</v>
      </c>
      <c r="D10" s="7">
        <v>2799152</v>
      </c>
      <c r="E10" s="7">
        <v>5946314</v>
      </c>
      <c r="F10" s="7">
        <v>9177006</v>
      </c>
      <c r="G10" s="7">
        <f>SUM(G7:G9)</f>
        <v>12432692</v>
      </c>
      <c r="H10" s="7">
        <v>5253336</v>
      </c>
      <c r="I10" s="7">
        <f>SUM(I7:I9)</f>
        <v>18833271.79552</v>
      </c>
      <c r="J10" s="7">
        <f>SUM(J7:J9)</f>
        <v>31806917.452319998</v>
      </c>
      <c r="K10" s="7">
        <f>SUM(K7:K9)</f>
        <v>64293539.225417152</v>
      </c>
    </row>
    <row r="11" spans="2:11" x14ac:dyDescent="0.25">
      <c r="B11" s="65" t="s">
        <v>9</v>
      </c>
      <c r="C11" s="5">
        <v>-191117</v>
      </c>
      <c r="D11" s="5">
        <v>-212994</v>
      </c>
      <c r="E11" s="5">
        <v>-356834</v>
      </c>
      <c r="F11" s="5">
        <v>-426882</v>
      </c>
      <c r="G11" s="5">
        <v>0</v>
      </c>
      <c r="H11" s="5">
        <v>0</v>
      </c>
      <c r="I11" s="11">
        <f>-0.065*I10</f>
        <v>-1224162.6667088</v>
      </c>
      <c r="J11" s="11">
        <f>-0.065*J10</f>
        <v>-2067449.6344007999</v>
      </c>
      <c r="K11" s="11">
        <f>-0.065*K10</f>
        <v>-4179080.049652115</v>
      </c>
    </row>
    <row r="12" spans="2:11" x14ac:dyDescent="0.25">
      <c r="B12" s="66" t="s">
        <v>10</v>
      </c>
      <c r="C12" s="7">
        <v>1729638</v>
      </c>
      <c r="D12" s="7">
        <v>2586158</v>
      </c>
      <c r="E12" s="7">
        <v>5589480</v>
      </c>
      <c r="F12" s="7">
        <v>8750124</v>
      </c>
      <c r="G12" s="7">
        <f>SUM(G10:G11)</f>
        <v>12432692</v>
      </c>
      <c r="H12" s="7">
        <v>5253336</v>
      </c>
      <c r="I12" s="7">
        <f>SUM(I10:I11)</f>
        <v>17609109.128811199</v>
      </c>
      <c r="J12" s="7">
        <f>SUM(J10:J11)</f>
        <v>29739467.817919198</v>
      </c>
      <c r="K12" s="7">
        <f>SUM(K10:K11)</f>
        <v>60114459.175765038</v>
      </c>
    </row>
    <row r="13" spans="2:11" x14ac:dyDescent="0.25">
      <c r="B13" s="65" t="s">
        <v>12</v>
      </c>
      <c r="C13" s="5">
        <f>C12/3529</f>
        <v>490.12128081609524</v>
      </c>
      <c r="D13" s="5">
        <f t="shared" ref="D13:K13" si="0">D12/3529</f>
        <v>732.83026353074524</v>
      </c>
      <c r="E13" s="5">
        <f t="shared" si="0"/>
        <v>1583.8707849249079</v>
      </c>
      <c r="F13" s="5">
        <f t="shared" si="0"/>
        <v>2479.4910739586285</v>
      </c>
      <c r="G13" s="5">
        <f t="shared" si="0"/>
        <v>3523.0070841598185</v>
      </c>
      <c r="H13" s="5">
        <f t="shared" si="0"/>
        <v>1488.6188722017569</v>
      </c>
      <c r="I13" s="5">
        <f t="shared" si="0"/>
        <v>4989.8297332987249</v>
      </c>
      <c r="J13" s="5">
        <f t="shared" si="0"/>
        <v>8427.1657177441757</v>
      </c>
      <c r="K13" s="5">
        <f t="shared" si="0"/>
        <v>17034.41744850242</v>
      </c>
    </row>
    <row r="14" spans="2:11" x14ac:dyDescent="0.25">
      <c r="B14" s="65" t="s">
        <v>11</v>
      </c>
      <c r="C14" s="5">
        <v>3529200</v>
      </c>
      <c r="D14" s="5">
        <v>3529200</v>
      </c>
      <c r="E14" s="5">
        <v>3529200</v>
      </c>
      <c r="F14" s="5">
        <v>3529200</v>
      </c>
      <c r="G14" s="5">
        <v>3259200</v>
      </c>
      <c r="H14" s="5">
        <v>3529200</v>
      </c>
      <c r="I14" s="5">
        <v>3529200</v>
      </c>
      <c r="J14" s="5">
        <v>3529200</v>
      </c>
      <c r="K14" s="5">
        <v>3529200</v>
      </c>
    </row>
    <row r="16" spans="2:11" x14ac:dyDescent="0.25">
      <c r="B16" s="65" t="s">
        <v>18</v>
      </c>
      <c r="C16" s="8">
        <f>C4/C2</f>
        <v>0.44372934507630907</v>
      </c>
      <c r="D16" s="8">
        <f t="shared" ref="D16:E16" si="1">D4/D2</f>
        <v>0.52417739986126111</v>
      </c>
      <c r="E16" s="8">
        <f t="shared" si="1"/>
        <v>0.61167386171829397</v>
      </c>
      <c r="F16" s="8">
        <f>F4/F2</f>
        <v>0.6074879627222457</v>
      </c>
      <c r="G16" s="8">
        <f>G4/G2</f>
        <v>0.6833806797538805</v>
      </c>
      <c r="H16" s="8">
        <f t="shared" ref="H16:J16" si="2">H4/H2</f>
        <v>0.72240694388842508</v>
      </c>
      <c r="I16" s="8">
        <f t="shared" si="2"/>
        <v>0.67405982153028832</v>
      </c>
      <c r="J16" s="8">
        <f t="shared" si="2"/>
        <v>0.68346647228046009</v>
      </c>
      <c r="K16" s="8">
        <f t="shared" ref="K16" si="3">K4/K2</f>
        <v>0.68048317358887322</v>
      </c>
    </row>
    <row r="17" spans="2:11" x14ac:dyDescent="0.25">
      <c r="B17" s="65" t="s">
        <v>19</v>
      </c>
      <c r="C17" s="8">
        <f>C7/C2</f>
        <v>0.33949774975504715</v>
      </c>
      <c r="D17" s="8">
        <f t="shared" ref="D17:J17" si="4">D7/D2</f>
        <v>0.42306427044074635</v>
      </c>
      <c r="E17" s="8">
        <f t="shared" si="4"/>
        <v>0.55369019387202445</v>
      </c>
      <c r="F17" s="8">
        <f t="shared" si="4"/>
        <v>0.5737506633883811</v>
      </c>
      <c r="G17" s="8">
        <f t="shared" si="4"/>
        <v>0.62013111976307644</v>
      </c>
      <c r="H17" s="8">
        <f t="shared" si="4"/>
        <v>0.63186557134375465</v>
      </c>
      <c r="I17" s="8">
        <f t="shared" si="4"/>
        <v>0.63478866723222571</v>
      </c>
      <c r="J17" s="8">
        <f t="shared" si="4"/>
        <v>0.62903614277168407</v>
      </c>
      <c r="K17" s="8">
        <f t="shared" ref="K17" si="5">K7/K2</f>
        <v>0.62405287621062033</v>
      </c>
    </row>
    <row r="18" spans="2:11" x14ac:dyDescent="0.25">
      <c r="B18" s="65" t="s">
        <v>20</v>
      </c>
      <c r="C18" s="8">
        <f>C12/C2</f>
        <v>0.39894518037941401</v>
      </c>
      <c r="D18" s="8">
        <f t="shared" ref="D18:J18" si="6">D12/D2</f>
        <v>0.46237207772239347</v>
      </c>
      <c r="E18" s="8">
        <f t="shared" si="6"/>
        <v>0.58781871624854742</v>
      </c>
      <c r="F18" s="8">
        <f t="shared" si="6"/>
        <v>0.61950166434728526</v>
      </c>
      <c r="G18" s="8">
        <f>G12/G2</f>
        <v>0.51770873833466047</v>
      </c>
      <c r="H18" s="8">
        <f t="shared" si="6"/>
        <v>0.56565057068586322</v>
      </c>
      <c r="I18" s="8">
        <f t="shared" si="6"/>
        <v>0.5852317508692364</v>
      </c>
      <c r="J18" s="8">
        <f t="shared" si="6"/>
        <v>0.56604516965666285</v>
      </c>
      <c r="K18" s="8">
        <f t="shared" ref="K18" si="7">K12/K2</f>
        <v>0.58348943925692998</v>
      </c>
    </row>
    <row r="19" spans="2:11" x14ac:dyDescent="0.25">
      <c r="B19" s="65" t="s">
        <v>21</v>
      </c>
      <c r="C19" s="8">
        <f>-C11/C10</f>
        <v>9.9500977480209599E-2</v>
      </c>
      <c r="D19" s="8">
        <f t="shared" ref="D19:J19" si="8">-D11/D10</f>
        <v>7.6092330820191262E-2</v>
      </c>
      <c r="E19" s="8">
        <f t="shared" si="8"/>
        <v>6.0009276334885779E-2</v>
      </c>
      <c r="F19" s="8">
        <f t="shared" si="8"/>
        <v>4.6516478250095944E-2</v>
      </c>
      <c r="G19" s="8">
        <f t="shared" si="8"/>
        <v>0</v>
      </c>
      <c r="H19" s="8">
        <f t="shared" si="8"/>
        <v>0</v>
      </c>
      <c r="I19" s="8">
        <f t="shared" si="8"/>
        <v>6.5000000000000002E-2</v>
      </c>
      <c r="J19" s="8">
        <f t="shared" si="8"/>
        <v>6.5000000000000002E-2</v>
      </c>
      <c r="K19" s="8">
        <f t="shared" ref="K19" si="9">-K11/K10</f>
        <v>6.5000000000000002E-2</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rightToLeft="1" workbookViewId="0">
      <selection activeCell="M14" sqref="M14"/>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H42"/>
  <sheetViews>
    <sheetView showGridLines="0" rightToLeft="1" tabSelected="1" workbookViewId="0">
      <selection activeCell="J36" sqref="J36"/>
    </sheetView>
  </sheetViews>
  <sheetFormatPr defaultRowHeight="15" x14ac:dyDescent="0.25"/>
  <cols>
    <col min="1" max="1" width="9.140625" style="1"/>
    <col min="2" max="2" width="39.42578125" style="1" bestFit="1" customWidth="1"/>
    <col min="3" max="3" width="12.5703125" style="1" customWidth="1"/>
    <col min="4" max="4" width="13" style="1" customWidth="1"/>
    <col min="5" max="5" width="12.140625" style="1" customWidth="1"/>
    <col min="6" max="6" width="14.7109375" style="1" customWidth="1"/>
    <col min="7" max="16384" width="9.140625" style="1"/>
  </cols>
  <sheetData>
    <row r="1" spans="2:5" ht="21.75" thickBot="1" x14ac:dyDescent="0.3">
      <c r="B1" s="18" t="s">
        <v>105</v>
      </c>
      <c r="C1" s="49" t="s">
        <v>103</v>
      </c>
      <c r="D1" s="35" t="s">
        <v>104</v>
      </c>
      <c r="E1" s="35" t="s">
        <v>176</v>
      </c>
    </row>
    <row r="2" spans="2:5" ht="21" x14ac:dyDescent="0.25">
      <c r="B2" s="68" t="s">
        <v>106</v>
      </c>
      <c r="C2" s="68"/>
      <c r="D2" s="68"/>
      <c r="E2" s="68"/>
    </row>
    <row r="3" spans="2:5" ht="18" x14ac:dyDescent="0.25">
      <c r="B3" s="15" t="s">
        <v>107</v>
      </c>
      <c r="C3" s="5">
        <v>400</v>
      </c>
      <c r="D3" s="5">
        <v>420</v>
      </c>
      <c r="E3" s="5">
        <v>400</v>
      </c>
    </row>
    <row r="4" spans="2:5" ht="18.75" x14ac:dyDescent="0.25">
      <c r="B4" s="15" t="s">
        <v>108</v>
      </c>
      <c r="C4" s="52">
        <v>0.2</v>
      </c>
      <c r="D4" s="52">
        <v>0.2</v>
      </c>
      <c r="E4" s="52">
        <v>0.2</v>
      </c>
    </row>
    <row r="5" spans="2:5" ht="18" x14ac:dyDescent="0.25">
      <c r="B5" s="15" t="s">
        <v>109</v>
      </c>
      <c r="C5" s="5">
        <f>(1-C4)*C3</f>
        <v>320</v>
      </c>
      <c r="D5" s="5">
        <f>(1-D4)*D3</f>
        <v>336</v>
      </c>
      <c r="E5" s="5">
        <f>(1-E4)*E3</f>
        <v>320</v>
      </c>
    </row>
    <row r="6" spans="2:5" ht="18" x14ac:dyDescent="0.25">
      <c r="B6" s="15" t="s">
        <v>110</v>
      </c>
      <c r="C6" s="5">
        <f>0.73*C5</f>
        <v>233.6</v>
      </c>
      <c r="D6" s="5">
        <f>0.73*D5</f>
        <v>245.28</v>
      </c>
      <c r="E6" s="5">
        <f>0.73*E5</f>
        <v>233.6</v>
      </c>
    </row>
    <row r="7" spans="2:5" ht="18" x14ac:dyDescent="0.25">
      <c r="B7" s="15" t="s">
        <v>78</v>
      </c>
      <c r="C7" s="5">
        <f>0.75*C5</f>
        <v>240</v>
      </c>
      <c r="D7" s="5">
        <f>0.75*D5</f>
        <v>252</v>
      </c>
      <c r="E7" s="5">
        <f>0.75*E5</f>
        <v>240</v>
      </c>
    </row>
    <row r="8" spans="2:5" ht="18.75" thickBot="1" x14ac:dyDescent="0.3">
      <c r="B8" s="15" t="s">
        <v>80</v>
      </c>
      <c r="C8" s="5">
        <f>0.71*C5</f>
        <v>227.2</v>
      </c>
      <c r="D8" s="5">
        <f>0.71*D5</f>
        <v>238.56</v>
      </c>
      <c r="E8" s="5">
        <f>0.71*E5</f>
        <v>227.2</v>
      </c>
    </row>
    <row r="9" spans="2:5" ht="21" x14ac:dyDescent="0.25">
      <c r="B9" s="67" t="s">
        <v>111</v>
      </c>
      <c r="C9" s="67"/>
      <c r="D9" s="67"/>
      <c r="E9" s="67"/>
    </row>
    <row r="10" spans="2:5" ht="18" x14ac:dyDescent="0.25">
      <c r="B10" s="15" t="s">
        <v>112</v>
      </c>
      <c r="C10" s="5">
        <v>351000</v>
      </c>
      <c r="D10" s="5">
        <v>660000</v>
      </c>
      <c r="E10" s="5">
        <f>(D10)+(660000*0.7)</f>
        <v>1122000</v>
      </c>
    </row>
    <row r="11" spans="2:5" ht="18.75" thickBot="1" x14ac:dyDescent="0.3">
      <c r="B11" s="15" t="s">
        <v>113</v>
      </c>
      <c r="C11" s="5">
        <v>2000</v>
      </c>
      <c r="D11" s="5">
        <v>4000</v>
      </c>
      <c r="E11" s="5">
        <v>8000</v>
      </c>
    </row>
    <row r="12" spans="2:5" ht="21" x14ac:dyDescent="0.25">
      <c r="B12" s="67" t="s">
        <v>114</v>
      </c>
      <c r="C12" s="67"/>
      <c r="D12" s="67"/>
      <c r="E12" s="67"/>
    </row>
    <row r="13" spans="2:5" ht="18" x14ac:dyDescent="0.25">
      <c r="B13" s="15" t="s">
        <v>115</v>
      </c>
      <c r="C13" s="5">
        <f>0.53*C10</f>
        <v>186030</v>
      </c>
      <c r="D13" s="5">
        <f>0.53*D10</f>
        <v>349800</v>
      </c>
      <c r="E13" s="5">
        <f>0.7*E10</f>
        <v>785400</v>
      </c>
    </row>
    <row r="14" spans="2:5" ht="18" x14ac:dyDescent="0.25">
      <c r="B14" s="15" t="s">
        <v>116</v>
      </c>
      <c r="C14" s="5">
        <f>C10-C13</f>
        <v>164970</v>
      </c>
      <c r="D14" s="5">
        <f>D10-D13</f>
        <v>310200</v>
      </c>
      <c r="E14" s="5">
        <f>E10-E13</f>
        <v>336600</v>
      </c>
    </row>
    <row r="15" spans="2:5" ht="18" x14ac:dyDescent="0.25">
      <c r="B15" s="15" t="s">
        <v>117</v>
      </c>
      <c r="C15" s="5">
        <f>0.3*C11</f>
        <v>600</v>
      </c>
      <c r="D15" s="5">
        <f>0.3*D11</f>
        <v>1200</v>
      </c>
      <c r="E15" s="5">
        <f>0.3*E11</f>
        <v>2400</v>
      </c>
    </row>
    <row r="16" spans="2:5" ht="18.75" thickBot="1" x14ac:dyDescent="0.3">
      <c r="B16" s="15" t="s">
        <v>118</v>
      </c>
      <c r="C16" s="5">
        <f>C11-C15</f>
        <v>1400</v>
      </c>
      <c r="D16" s="5">
        <f>D11-D15</f>
        <v>2800</v>
      </c>
      <c r="E16" s="5">
        <f>E11-E15</f>
        <v>5600</v>
      </c>
    </row>
    <row r="17" spans="2:8" ht="21" x14ac:dyDescent="0.25">
      <c r="B17" s="67" t="s">
        <v>119</v>
      </c>
      <c r="C17" s="67"/>
      <c r="D17" s="67"/>
      <c r="E17" s="67"/>
    </row>
    <row r="18" spans="2:8" ht="18" x14ac:dyDescent="0.25">
      <c r="B18" s="15" t="s">
        <v>120</v>
      </c>
      <c r="C18" s="5">
        <f>0.57*C10</f>
        <v>200069.99999999997</v>
      </c>
      <c r="D18" s="5">
        <f>0.57*D10</f>
        <v>376199.99999999994</v>
      </c>
      <c r="E18" s="5">
        <f>0.57*E10</f>
        <v>639540</v>
      </c>
    </row>
    <row r="19" spans="2:8" ht="18" x14ac:dyDescent="0.25">
      <c r="B19" s="15" t="s">
        <v>121</v>
      </c>
      <c r="C19" s="5">
        <f>C18+C11</f>
        <v>202069.99999999997</v>
      </c>
      <c r="D19" s="5">
        <f>D18+D11</f>
        <v>380199.99999999994</v>
      </c>
      <c r="E19" s="5">
        <f>E18+E11</f>
        <v>647540</v>
      </c>
    </row>
    <row r="20" spans="2:8" ht="18.75" thickBot="1" x14ac:dyDescent="0.3">
      <c r="B20" s="15" t="s">
        <v>122</v>
      </c>
      <c r="C20" s="5">
        <f>740*C19</f>
        <v>149531799.99999997</v>
      </c>
      <c r="D20" s="5">
        <f>740*D19</f>
        <v>281347999.99999994</v>
      </c>
      <c r="E20" s="5">
        <f>740*E19</f>
        <v>479179600</v>
      </c>
    </row>
    <row r="21" spans="2:8" ht="21" x14ac:dyDescent="0.25">
      <c r="B21" s="67" t="s">
        <v>123</v>
      </c>
      <c r="C21" s="67"/>
      <c r="D21" s="67"/>
      <c r="E21" s="67"/>
    </row>
    <row r="22" spans="2:8" ht="20.25" thickBot="1" x14ac:dyDescent="0.3">
      <c r="B22" s="15" t="s">
        <v>124</v>
      </c>
      <c r="C22" s="53">
        <v>0.13</v>
      </c>
      <c r="D22" s="53">
        <v>0.12</v>
      </c>
      <c r="E22" s="53">
        <f>(1+G22)*D22</f>
        <v>0.11428571428571427</v>
      </c>
      <c r="G22" s="41">
        <f>E3/D3-1</f>
        <v>-4.7619047619047672E-2</v>
      </c>
    </row>
    <row r="23" spans="2:8" ht="21" x14ac:dyDescent="0.25">
      <c r="B23" s="67" t="s">
        <v>125</v>
      </c>
      <c r="C23" s="67"/>
      <c r="D23" s="67"/>
      <c r="E23" s="67"/>
    </row>
    <row r="24" spans="2:8" ht="18" x14ac:dyDescent="0.25">
      <c r="B24" s="15" t="s">
        <v>126</v>
      </c>
      <c r="C24" s="36">
        <v>0.18</v>
      </c>
      <c r="D24" s="36">
        <v>0.2</v>
      </c>
      <c r="E24" s="36">
        <v>0.25</v>
      </c>
    </row>
    <row r="25" spans="2:8" ht="18" x14ac:dyDescent="0.25">
      <c r="B25" s="15" t="s">
        <v>127</v>
      </c>
      <c r="C25" s="36">
        <v>0.4</v>
      </c>
      <c r="D25" s="36">
        <v>0.4</v>
      </c>
      <c r="E25" s="36">
        <v>0.2</v>
      </c>
    </row>
    <row r="26" spans="2:8" ht="18" x14ac:dyDescent="0.25">
      <c r="B26" s="15" t="s">
        <v>93</v>
      </c>
      <c r="C26" s="5">
        <v>240000</v>
      </c>
      <c r="D26" s="5">
        <v>270000</v>
      </c>
      <c r="E26" s="5">
        <f>310500</f>
        <v>310500</v>
      </c>
    </row>
    <row r="27" spans="2:8" ht="18" x14ac:dyDescent="0.25">
      <c r="B27" s="15" t="s">
        <v>128</v>
      </c>
      <c r="C27" s="36">
        <v>0.15</v>
      </c>
      <c r="D27" s="36">
        <v>0.15</v>
      </c>
      <c r="E27" s="36">
        <v>0.15</v>
      </c>
    </row>
    <row r="28" spans="2:8" ht="18" x14ac:dyDescent="0.25">
      <c r="B28" s="15" t="s">
        <v>137</v>
      </c>
      <c r="C28" s="53">
        <v>1.02</v>
      </c>
      <c r="D28" s="53">
        <v>1.02</v>
      </c>
      <c r="E28" s="53">
        <v>1.02</v>
      </c>
    </row>
    <row r="29" spans="2:8" ht="18" x14ac:dyDescent="0.25">
      <c r="B29" s="15" t="s">
        <v>129</v>
      </c>
      <c r="C29" s="36">
        <f>((C28)*(C27))+C24</f>
        <v>0.33299999999999996</v>
      </c>
      <c r="D29" s="45">
        <f>((D28)*(D27))+D24</f>
        <v>0.35299999999999998</v>
      </c>
      <c r="E29" s="45">
        <f>((E28)*(E27))+E24</f>
        <v>0.40300000000000002</v>
      </c>
    </row>
    <row r="30" spans="2:8" ht="18" x14ac:dyDescent="0.25">
      <c r="B30" s="15" t="s">
        <v>130</v>
      </c>
      <c r="C30" s="36">
        <v>0.4</v>
      </c>
      <c r="D30" s="36">
        <v>0.4</v>
      </c>
      <c r="E30" s="36">
        <v>0.75</v>
      </c>
      <c r="H30" s="48"/>
    </row>
    <row r="31" spans="2:8" ht="18" x14ac:dyDescent="0.25">
      <c r="B31" s="15" t="s">
        <v>131</v>
      </c>
      <c r="C31" s="36">
        <v>0.19</v>
      </c>
      <c r="D31" s="36">
        <v>0.19</v>
      </c>
      <c r="E31" s="36">
        <v>0.19</v>
      </c>
    </row>
    <row r="32" spans="2:8" ht="18.75" thickBot="1" x14ac:dyDescent="0.3">
      <c r="B32" s="15" t="s">
        <v>132</v>
      </c>
      <c r="C32" s="51">
        <f>(C30)/(C29-C31)</f>
        <v>2.797202797202798</v>
      </c>
      <c r="D32" s="51">
        <f>(D30)/(D29-D31)</f>
        <v>2.4539877300613502</v>
      </c>
      <c r="E32" s="51">
        <f>(E30)/(E29-E31)</f>
        <v>3.52112676056338</v>
      </c>
    </row>
    <row r="33" spans="2:5" ht="21" x14ac:dyDescent="0.25">
      <c r="B33" s="67" t="s">
        <v>133</v>
      </c>
      <c r="C33" s="67"/>
      <c r="D33" s="67"/>
      <c r="E33" s="67"/>
    </row>
    <row r="34" spans="2:5" ht="18" x14ac:dyDescent="0.25">
      <c r="B34" s="15" t="s">
        <v>150</v>
      </c>
      <c r="C34" s="5">
        <v>7</v>
      </c>
      <c r="D34" s="5">
        <v>7</v>
      </c>
      <c r="E34" s="5">
        <v>7</v>
      </c>
    </row>
    <row r="35" spans="2:5" ht="18" x14ac:dyDescent="0.25">
      <c r="B35" s="15" t="s">
        <v>134</v>
      </c>
      <c r="C35" s="51">
        <v>2.5</v>
      </c>
      <c r="D35" s="51">
        <v>2.5</v>
      </c>
      <c r="E35" s="51">
        <v>2.5</v>
      </c>
    </row>
    <row r="36" spans="2:5" ht="18" x14ac:dyDescent="0.25">
      <c r="B36" s="15" t="s">
        <v>141</v>
      </c>
      <c r="C36" s="58">
        <v>3.5000000000000001E-3</v>
      </c>
      <c r="D36" s="58">
        <v>3.5000000000000001E-3</v>
      </c>
      <c r="E36" s="58">
        <v>3.5000000000000001E-3</v>
      </c>
    </row>
    <row r="37" spans="2:5" ht="18" x14ac:dyDescent="0.25">
      <c r="B37" s="15" t="s">
        <v>153</v>
      </c>
      <c r="C37" s="5">
        <v>11</v>
      </c>
      <c r="D37" s="5">
        <v>11</v>
      </c>
      <c r="E37" s="5">
        <v>11</v>
      </c>
    </row>
    <row r="38" spans="2:5" ht="15.75" thickBot="1" x14ac:dyDescent="0.3"/>
    <row r="39" spans="2:5" ht="21" x14ac:dyDescent="0.25">
      <c r="B39" s="67" t="s">
        <v>135</v>
      </c>
      <c r="C39" s="67"/>
      <c r="D39" s="67"/>
      <c r="E39" s="67"/>
    </row>
    <row r="40" spans="2:5" ht="19.5" x14ac:dyDescent="0.25">
      <c r="B40" s="54" t="s">
        <v>136</v>
      </c>
      <c r="C40" s="55">
        <f>'سود (زیان)'!I13+'سود (زیان)'!H13</f>
        <v>6478.4486055004818</v>
      </c>
      <c r="D40" s="55">
        <f>'سود (زیان)'!J13</f>
        <v>8427.1657177441757</v>
      </c>
      <c r="E40" s="55">
        <f>'سود (زیان)'!K13</f>
        <v>17034.41744850242</v>
      </c>
    </row>
    <row r="42" spans="2:5" ht="18" x14ac:dyDescent="0.25">
      <c r="B42" s="56"/>
    </row>
  </sheetData>
  <mergeCells count="8">
    <mergeCell ref="B23:E23"/>
    <mergeCell ref="B33:E33"/>
    <mergeCell ref="B39:E39"/>
    <mergeCell ref="B2:E2"/>
    <mergeCell ref="B9:E9"/>
    <mergeCell ref="B12:E12"/>
    <mergeCell ref="B17:E17"/>
    <mergeCell ref="B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8"/>
  <sheetViews>
    <sheetView showGridLines="0" rightToLeft="1" topLeftCell="A43" workbookViewId="0">
      <selection activeCell="G50" sqref="G50"/>
    </sheetView>
  </sheetViews>
  <sheetFormatPr defaultRowHeight="15" x14ac:dyDescent="0.25"/>
  <cols>
    <col min="1" max="1" width="9.140625" style="1"/>
    <col min="2" max="2" width="24.7109375" style="1" bestFit="1" customWidth="1"/>
    <col min="3" max="5" width="17" style="1" bestFit="1" customWidth="1"/>
    <col min="6" max="6" width="3.5703125" style="1" customWidth="1"/>
    <col min="7" max="7" width="20" style="1" customWidth="1"/>
    <col min="8" max="8" width="23.5703125" style="1" bestFit="1" customWidth="1"/>
    <col min="9" max="9" width="27" style="1" customWidth="1"/>
    <col min="10" max="10" width="22.28515625" style="1" customWidth="1"/>
    <col min="11" max="16384" width="9.140625" style="1"/>
  </cols>
  <sheetData>
    <row r="1" spans="2:13" ht="21.75" thickBot="1" x14ac:dyDescent="0.3">
      <c r="B1" s="18" t="s">
        <v>63</v>
      </c>
      <c r="C1" s="25" t="s">
        <v>74</v>
      </c>
      <c r="D1" s="25" t="s">
        <v>75</v>
      </c>
      <c r="E1" s="25" t="s">
        <v>76</v>
      </c>
      <c r="G1" s="25" t="s">
        <v>84</v>
      </c>
      <c r="H1" s="25" t="s">
        <v>97</v>
      </c>
      <c r="I1" s="25" t="s">
        <v>99</v>
      </c>
      <c r="J1" s="35" t="s">
        <v>100</v>
      </c>
    </row>
    <row r="2" spans="2:13" ht="19.5" x14ac:dyDescent="0.5">
      <c r="B2" s="15" t="s">
        <v>24</v>
      </c>
      <c r="C2" s="5">
        <v>698841</v>
      </c>
      <c r="D2" s="5">
        <v>608115</v>
      </c>
      <c r="E2" s="5">
        <v>681145</v>
      </c>
      <c r="G2" s="5">
        <v>191104</v>
      </c>
      <c r="H2" s="5">
        <f>E2/12</f>
        <v>56762.083333333336</v>
      </c>
      <c r="I2" s="5">
        <f>253688/4</f>
        <v>63422</v>
      </c>
      <c r="J2" s="42">
        <f>I2/H2-1</f>
        <v>0.11733037752607745</v>
      </c>
    </row>
    <row r="3" spans="2:13" ht="19.5" x14ac:dyDescent="0.5">
      <c r="B3" s="15" t="s">
        <v>25</v>
      </c>
      <c r="C3" s="5">
        <v>399665</v>
      </c>
      <c r="D3" s="5">
        <v>349694</v>
      </c>
      <c r="E3" s="5">
        <v>392784</v>
      </c>
      <c r="G3" s="5">
        <v>110960</v>
      </c>
      <c r="H3" s="5">
        <f t="shared" ref="H3:H4" si="0">E3/12</f>
        <v>32732</v>
      </c>
      <c r="I3" s="5">
        <f>146745/4</f>
        <v>36686.25</v>
      </c>
      <c r="J3" s="42">
        <f>I3/H3-1</f>
        <v>0.12080685567640237</v>
      </c>
    </row>
    <row r="4" spans="2:13" ht="19.5" x14ac:dyDescent="0.5">
      <c r="B4" s="14" t="s">
        <v>64</v>
      </c>
      <c r="C4" s="16">
        <v>1098506</v>
      </c>
      <c r="D4" s="16">
        <v>957809</v>
      </c>
      <c r="E4" s="16">
        <v>1073929</v>
      </c>
      <c r="G4" s="16">
        <f>SUM(G2:G3)</f>
        <v>302064</v>
      </c>
      <c r="H4" s="16">
        <f t="shared" si="0"/>
        <v>89494.083333333328</v>
      </c>
      <c r="I4" s="16">
        <f>SUM(I2:I3)</f>
        <v>100108.25</v>
      </c>
      <c r="J4" s="43">
        <f>I4/H4-1</f>
        <v>0.11860188150240858</v>
      </c>
    </row>
    <row r="6" spans="2:13" ht="21.75" thickBot="1" x14ac:dyDescent="0.3">
      <c r="B6" s="18" t="s">
        <v>26</v>
      </c>
      <c r="C6" s="25" t="s">
        <v>74</v>
      </c>
      <c r="D6" s="25" t="s">
        <v>75</v>
      </c>
      <c r="E6" s="25" t="s">
        <v>76</v>
      </c>
      <c r="G6" s="25" t="s">
        <v>84</v>
      </c>
      <c r="H6" s="25" t="s">
        <v>97</v>
      </c>
      <c r="I6" s="25" t="s">
        <v>99</v>
      </c>
      <c r="J6" s="39" t="s">
        <v>100</v>
      </c>
    </row>
    <row r="7" spans="2:13" ht="19.5" x14ac:dyDescent="0.25">
      <c r="B7" s="15" t="s">
        <v>77</v>
      </c>
      <c r="C7" s="5">
        <v>355165</v>
      </c>
      <c r="D7" s="5">
        <v>419021</v>
      </c>
      <c r="E7" s="5">
        <v>313134</v>
      </c>
      <c r="G7" s="5">
        <v>90441</v>
      </c>
      <c r="H7" s="5">
        <f>E7/12</f>
        <v>26094.5</v>
      </c>
      <c r="I7" s="5">
        <f>126490/4</f>
        <v>31622.5</v>
      </c>
      <c r="J7" s="41">
        <f>I7/H7-1</f>
        <v>0.21184540803617624</v>
      </c>
    </row>
    <row r="8" spans="2:13" ht="19.5" x14ac:dyDescent="0.25">
      <c r="B8" s="15" t="s">
        <v>78</v>
      </c>
      <c r="C8" s="5">
        <v>500</v>
      </c>
      <c r="D8" s="5">
        <v>1905</v>
      </c>
      <c r="E8" s="5">
        <v>598</v>
      </c>
      <c r="G8" s="5">
        <v>1000</v>
      </c>
      <c r="H8" s="5">
        <f t="shared" ref="H8:H11" si="1">E8/12</f>
        <v>49.833333333333336</v>
      </c>
      <c r="I8" s="5">
        <f>1000/4</f>
        <v>250</v>
      </c>
      <c r="J8" s="41" t="s">
        <v>73</v>
      </c>
      <c r="M8" s="5"/>
    </row>
    <row r="9" spans="2:13" ht="19.5" x14ac:dyDescent="0.25">
      <c r="B9" s="15" t="s">
        <v>79</v>
      </c>
      <c r="C9" s="5">
        <v>315676</v>
      </c>
      <c r="D9" s="5">
        <v>258130</v>
      </c>
      <c r="E9" s="5">
        <v>327984</v>
      </c>
      <c r="G9" s="5">
        <v>86937</v>
      </c>
      <c r="H9" s="5">
        <f t="shared" si="1"/>
        <v>27332</v>
      </c>
      <c r="I9" s="5">
        <f>113030/4</f>
        <v>28257.5</v>
      </c>
      <c r="J9" s="41">
        <f t="shared" ref="J9:J11" si="2">I9/H9-1</f>
        <v>3.386140787355485E-2</v>
      </c>
      <c r="M9" s="5"/>
    </row>
    <row r="10" spans="2:13" ht="19.5" x14ac:dyDescent="0.25">
      <c r="B10" s="15" t="s">
        <v>80</v>
      </c>
      <c r="C10" s="5">
        <v>2605</v>
      </c>
      <c r="D10" s="5">
        <v>2494</v>
      </c>
      <c r="E10" s="5">
        <v>3617</v>
      </c>
      <c r="G10" s="5">
        <v>932</v>
      </c>
      <c r="H10" s="5">
        <f t="shared" si="1"/>
        <v>301.41666666666669</v>
      </c>
      <c r="I10" s="5">
        <f>1094/4</f>
        <v>273.5</v>
      </c>
      <c r="J10" s="41">
        <f t="shared" si="2"/>
        <v>-9.2618191871716937E-2</v>
      </c>
      <c r="M10" s="46"/>
    </row>
    <row r="11" spans="2:13" ht="19.5" x14ac:dyDescent="0.25">
      <c r="B11" s="14" t="s">
        <v>81</v>
      </c>
      <c r="C11" s="16">
        <v>673946</v>
      </c>
      <c r="D11" s="16">
        <v>681550</v>
      </c>
      <c r="E11" s="16">
        <v>645333</v>
      </c>
      <c r="G11" s="16">
        <f>SUM(G7:G10)</f>
        <v>179310</v>
      </c>
      <c r="H11" s="16">
        <f t="shared" si="1"/>
        <v>53777.75</v>
      </c>
      <c r="I11" s="16">
        <f>SUM(I7:I10)</f>
        <v>60403.5</v>
      </c>
      <c r="J11" s="40">
        <f t="shared" si="2"/>
        <v>0.12320615868086704</v>
      </c>
    </row>
    <row r="13" spans="2:13" ht="21.75" thickBot="1" x14ac:dyDescent="0.3">
      <c r="B13" s="18" t="s">
        <v>27</v>
      </c>
      <c r="C13" s="25" t="s">
        <v>74</v>
      </c>
      <c r="D13" s="25" t="s">
        <v>75</v>
      </c>
      <c r="E13" s="25" t="s">
        <v>76</v>
      </c>
      <c r="G13" s="25" t="s">
        <v>84</v>
      </c>
      <c r="H13" s="25" t="s">
        <v>97</v>
      </c>
      <c r="I13" s="25" t="s">
        <v>99</v>
      </c>
      <c r="J13" s="25" t="s">
        <v>100</v>
      </c>
    </row>
    <row r="14" spans="2:13" ht="19.5" x14ac:dyDescent="0.25">
      <c r="B14" s="15" t="s">
        <v>77</v>
      </c>
      <c r="C14" s="5">
        <v>6302946</v>
      </c>
      <c r="D14" s="5">
        <v>9450469</v>
      </c>
      <c r="E14" s="5">
        <v>13072195</v>
      </c>
      <c r="G14" s="5">
        <v>4994920</v>
      </c>
      <c r="H14" s="5">
        <f>E14/12</f>
        <v>1089349.5833333333</v>
      </c>
      <c r="I14" s="5">
        <f>7319184/4</f>
        <v>1829796</v>
      </c>
      <c r="J14" s="41">
        <f>I14/H14-1</f>
        <v>0.67971423314906199</v>
      </c>
    </row>
    <row r="15" spans="2:13" ht="19.5" x14ac:dyDescent="0.25">
      <c r="B15" s="15" t="s">
        <v>78</v>
      </c>
      <c r="C15" s="5">
        <v>6263</v>
      </c>
      <c r="D15" s="5">
        <v>30867</v>
      </c>
      <c r="E15" s="5">
        <v>15529</v>
      </c>
      <c r="G15" s="5">
        <v>45807</v>
      </c>
      <c r="H15" s="5">
        <f t="shared" ref="H15:H18" si="3">E15/12</f>
        <v>1294.0833333333333</v>
      </c>
      <c r="I15" s="5">
        <f>45807/4</f>
        <v>11451.75</v>
      </c>
      <c r="J15" s="41" t="s">
        <v>73</v>
      </c>
    </row>
    <row r="16" spans="2:13" ht="19.5" x14ac:dyDescent="0.25">
      <c r="B16" s="15" t="s">
        <v>79</v>
      </c>
      <c r="C16" s="5">
        <v>3895581</v>
      </c>
      <c r="D16" s="5">
        <v>4523212</v>
      </c>
      <c r="E16" s="5">
        <v>10872915</v>
      </c>
      <c r="G16" s="5">
        <v>4203934</v>
      </c>
      <c r="H16" s="5">
        <f t="shared" si="3"/>
        <v>906076.25</v>
      </c>
      <c r="I16" s="5">
        <f>5540026/4</f>
        <v>1385006.5</v>
      </c>
      <c r="J16" s="41">
        <f t="shared" ref="J16:J18" si="4">I16/H16-1</f>
        <v>0.52857609941768136</v>
      </c>
    </row>
    <row r="17" spans="2:10" ht="19.5" x14ac:dyDescent="0.25">
      <c r="B17" s="15" t="s">
        <v>80</v>
      </c>
      <c r="C17" s="5">
        <v>31803</v>
      </c>
      <c r="D17" s="5">
        <v>34733</v>
      </c>
      <c r="E17" s="5">
        <v>54200</v>
      </c>
      <c r="G17" s="5">
        <v>42585</v>
      </c>
      <c r="H17" s="5">
        <f t="shared" si="3"/>
        <v>4516.666666666667</v>
      </c>
      <c r="I17" s="5">
        <f>51783/4</f>
        <v>12945.75</v>
      </c>
      <c r="J17" s="41">
        <f t="shared" si="4"/>
        <v>1.8662177121771215</v>
      </c>
    </row>
    <row r="18" spans="2:10" ht="19.5" x14ac:dyDescent="0.25">
      <c r="B18" s="14"/>
      <c r="C18" s="16">
        <f>SUM(C14:C17)</f>
        <v>10236593</v>
      </c>
      <c r="D18" s="16">
        <v>14039281</v>
      </c>
      <c r="E18" s="16">
        <v>24014839</v>
      </c>
      <c r="G18" s="16">
        <f>SUM(G14:G17)</f>
        <v>9287246</v>
      </c>
      <c r="H18" s="16">
        <f t="shared" si="3"/>
        <v>2001236.5833333333</v>
      </c>
      <c r="I18" s="16">
        <f>SUM(I14:I17)</f>
        <v>3239200</v>
      </c>
      <c r="J18" s="40">
        <f t="shared" si="4"/>
        <v>0.61859923358220303</v>
      </c>
    </row>
    <row r="20" spans="2:10" ht="21.75" thickBot="1" x14ac:dyDescent="0.3">
      <c r="B20" s="18" t="s">
        <v>82</v>
      </c>
      <c r="C20" s="25" t="s">
        <v>74</v>
      </c>
      <c r="D20" s="25" t="s">
        <v>75</v>
      </c>
      <c r="E20" s="25" t="s">
        <v>76</v>
      </c>
      <c r="G20" s="25" t="s">
        <v>84</v>
      </c>
      <c r="H20" s="25" t="s">
        <v>97</v>
      </c>
      <c r="I20" s="25" t="s">
        <v>99</v>
      </c>
      <c r="J20" s="39" t="s">
        <v>100</v>
      </c>
    </row>
    <row r="21" spans="2:10" ht="19.5" x14ac:dyDescent="0.25">
      <c r="B21" s="15" t="s">
        <v>77</v>
      </c>
      <c r="C21" s="5">
        <f t="shared" ref="C21:D21" si="5">C14*1000000/C7</f>
        <v>17746529.078034151</v>
      </c>
      <c r="D21" s="5">
        <f t="shared" si="5"/>
        <v>22553688.239968881</v>
      </c>
      <c r="E21" s="5">
        <f>E14*1000000/E7</f>
        <v>41746329.047628172</v>
      </c>
      <c r="G21" s="5">
        <v>55228491.5</v>
      </c>
      <c r="H21" s="5">
        <f>H14*1000000/H7</f>
        <v>41746329.047628172</v>
      </c>
      <c r="I21" s="5">
        <f>I14*1000000/I7</f>
        <v>57863736.263736263</v>
      </c>
      <c r="J21" s="41">
        <f>I21/H21-1</f>
        <v>0.38607962864758294</v>
      </c>
    </row>
    <row r="22" spans="2:10" ht="19.5" x14ac:dyDescent="0.25">
      <c r="B22" s="15" t="s">
        <v>78</v>
      </c>
      <c r="C22" s="5">
        <f t="shared" ref="C22:E24" si="6">C15*1000000/C8</f>
        <v>12526000</v>
      </c>
      <c r="D22" s="5">
        <f t="shared" si="6"/>
        <v>16203149.606299212</v>
      </c>
      <c r="E22" s="5">
        <f t="shared" si="6"/>
        <v>25968227.424749162</v>
      </c>
      <c r="G22" s="5">
        <v>45807000</v>
      </c>
      <c r="H22" s="5">
        <f t="shared" ref="H22:I24" si="7">H15*1000000/H8</f>
        <v>25968227.424749162</v>
      </c>
      <c r="I22" s="5">
        <f t="shared" si="7"/>
        <v>45807000</v>
      </c>
      <c r="J22" s="41">
        <f t="shared" ref="J22:J24" si="8">I22/H22-1</f>
        <v>0.7639632944812933</v>
      </c>
    </row>
    <row r="23" spans="2:10" ht="19.5" x14ac:dyDescent="0.25">
      <c r="B23" s="15" t="s">
        <v>79</v>
      </c>
      <c r="C23" s="5">
        <f t="shared" si="6"/>
        <v>12340440.831738871</v>
      </c>
      <c r="D23" s="5">
        <f t="shared" si="6"/>
        <v>17523000.038740169</v>
      </c>
      <c r="E23" s="5">
        <f t="shared" si="6"/>
        <v>33150748.207229622</v>
      </c>
      <c r="G23" s="5">
        <v>48356096.939999998</v>
      </c>
      <c r="H23" s="5">
        <f t="shared" si="7"/>
        <v>33150748.207229622</v>
      </c>
      <c r="I23" s="5">
        <f t="shared" si="7"/>
        <v>49013766.256745994</v>
      </c>
      <c r="J23" s="41">
        <f t="shared" si="8"/>
        <v>0.47851161459025282</v>
      </c>
    </row>
    <row r="24" spans="2:10" ht="19.5" x14ac:dyDescent="0.25">
      <c r="B24" s="15" t="s">
        <v>80</v>
      </c>
      <c r="C24" s="5">
        <f t="shared" si="6"/>
        <v>12208445.297504798</v>
      </c>
      <c r="D24" s="5">
        <f t="shared" si="6"/>
        <v>13926623.897353649</v>
      </c>
      <c r="E24" s="5">
        <f t="shared" si="6"/>
        <v>14984794.028200166</v>
      </c>
      <c r="G24" s="5">
        <v>45692060.090000004</v>
      </c>
      <c r="H24" s="5">
        <f t="shared" si="7"/>
        <v>14984794.028200166</v>
      </c>
      <c r="I24" s="5">
        <f t="shared" si="7"/>
        <v>47333638.025594153</v>
      </c>
      <c r="J24" s="41">
        <f t="shared" si="8"/>
        <v>2.1587780210069014</v>
      </c>
    </row>
    <row r="26" spans="2:10" ht="21.75" thickBot="1" x14ac:dyDescent="0.3">
      <c r="B26" s="18" t="s">
        <v>83</v>
      </c>
      <c r="C26" s="25" t="s">
        <v>74</v>
      </c>
      <c r="D26" s="25" t="s">
        <v>75</v>
      </c>
      <c r="E26" s="25" t="s">
        <v>76</v>
      </c>
      <c r="F26" s="11"/>
      <c r="G26" s="25" t="s">
        <v>84</v>
      </c>
    </row>
    <row r="27" spans="2:10" ht="18" x14ac:dyDescent="0.25">
      <c r="B27" s="15" t="s">
        <v>77</v>
      </c>
      <c r="C27" s="37">
        <v>2013315</v>
      </c>
      <c r="D27" s="37">
        <v>3510017</v>
      </c>
      <c r="E27" s="37">
        <v>3679277</v>
      </c>
      <c r="G27" s="37">
        <v>1294255</v>
      </c>
    </row>
    <row r="28" spans="2:10" ht="18" x14ac:dyDescent="0.25">
      <c r="B28" s="15" t="s">
        <v>78</v>
      </c>
      <c r="C28" s="37">
        <v>4056</v>
      </c>
      <c r="D28" s="37">
        <v>19986</v>
      </c>
      <c r="E28" s="37">
        <v>10005</v>
      </c>
      <c r="G28" s="37">
        <v>20558</v>
      </c>
    </row>
    <row r="29" spans="2:10" ht="18" x14ac:dyDescent="0.25">
      <c r="B29" s="15" t="s">
        <v>79</v>
      </c>
      <c r="C29" s="37">
        <v>1789465</v>
      </c>
      <c r="D29" s="37">
        <v>2162279</v>
      </c>
      <c r="E29" s="37">
        <v>3853762</v>
      </c>
      <c r="G29" s="37">
        <v>1244107</v>
      </c>
    </row>
    <row r="30" spans="2:10" ht="18" x14ac:dyDescent="0.25">
      <c r="B30" s="15" t="s">
        <v>80</v>
      </c>
      <c r="C30" s="37">
        <v>21134</v>
      </c>
      <c r="D30" s="37">
        <v>26166</v>
      </c>
      <c r="E30" s="37">
        <v>60518</v>
      </c>
      <c r="G30" s="37">
        <v>19155</v>
      </c>
    </row>
    <row r="31" spans="2:10" ht="19.5" x14ac:dyDescent="0.25">
      <c r="B31" s="14" t="s">
        <v>85</v>
      </c>
      <c r="C31" s="38">
        <f t="shared" ref="C31:D31" si="9">SUM(C27:C30)</f>
        <v>3827970</v>
      </c>
      <c r="D31" s="38">
        <f t="shared" si="9"/>
        <v>5718448</v>
      </c>
      <c r="E31" s="38">
        <f>SUM(E27:E30)</f>
        <v>7603562</v>
      </c>
      <c r="G31" s="38">
        <f>SUM(G27:G30)</f>
        <v>2578075</v>
      </c>
    </row>
    <row r="33" spans="2:7" ht="21.75" thickBot="1" x14ac:dyDescent="0.3">
      <c r="B33" s="18" t="s">
        <v>86</v>
      </c>
      <c r="C33" s="25" t="s">
        <v>74</v>
      </c>
      <c r="D33" s="25" t="s">
        <v>75</v>
      </c>
      <c r="E33" s="25" t="s">
        <v>76</v>
      </c>
      <c r="F33" s="11"/>
      <c r="G33" s="25" t="s">
        <v>84</v>
      </c>
    </row>
    <row r="34" spans="2:7" ht="18.75" x14ac:dyDescent="0.25">
      <c r="B34" s="15" t="s">
        <v>77</v>
      </c>
      <c r="C34" s="26">
        <f t="shared" ref="C34:D34" si="10">C27*1000000/C7</f>
        <v>5668675.1228302335</v>
      </c>
      <c r="D34" s="26">
        <f t="shared" si="10"/>
        <v>8376709.0432221778</v>
      </c>
      <c r="E34" s="26">
        <f>E27*1000000/E7</f>
        <v>11749848.30775323</v>
      </c>
      <c r="F34" s="11"/>
      <c r="G34" s="26">
        <f>G27*1000000/G7</f>
        <v>14310489.711524641</v>
      </c>
    </row>
    <row r="35" spans="2:7" ht="18.75" x14ac:dyDescent="0.25">
      <c r="B35" s="15" t="s">
        <v>78</v>
      </c>
      <c r="C35" s="26">
        <f t="shared" ref="C35:E37" si="11">C28*1000000/C8</f>
        <v>8112000</v>
      </c>
      <c r="D35" s="26">
        <f t="shared" si="11"/>
        <v>10491338.582677165</v>
      </c>
      <c r="E35" s="26">
        <f t="shared" si="11"/>
        <v>16730769.23076923</v>
      </c>
      <c r="F35" s="11"/>
      <c r="G35" s="26">
        <f t="shared" ref="G35" si="12">G28*1000000/G8</f>
        <v>20558000</v>
      </c>
    </row>
    <row r="36" spans="2:7" ht="18.75" x14ac:dyDescent="0.25">
      <c r="B36" s="15" t="s">
        <v>79</v>
      </c>
      <c r="C36" s="26">
        <f t="shared" si="11"/>
        <v>5668676.1109492015</v>
      </c>
      <c r="D36" s="26">
        <f t="shared" si="11"/>
        <v>8376705.5359702474</v>
      </c>
      <c r="E36" s="26">
        <f t="shared" si="11"/>
        <v>11749847.553539198</v>
      </c>
      <c r="F36" s="11"/>
      <c r="G36" s="26">
        <f t="shared" ref="G36" si="13">G29*1000000/G9</f>
        <v>14310443.194497164</v>
      </c>
    </row>
    <row r="37" spans="2:7" ht="18.75" x14ac:dyDescent="0.25">
      <c r="B37" s="15" t="s">
        <v>80</v>
      </c>
      <c r="C37" s="26">
        <f t="shared" si="11"/>
        <v>8112859.8848368526</v>
      </c>
      <c r="D37" s="26">
        <f t="shared" si="11"/>
        <v>10491579.7914996</v>
      </c>
      <c r="E37" s="26">
        <f t="shared" si="11"/>
        <v>16731545.479679292</v>
      </c>
      <c r="F37" s="11"/>
      <c r="G37" s="26">
        <f t="shared" ref="G37" si="14">G30*1000000/G10</f>
        <v>20552575.107296139</v>
      </c>
    </row>
    <row r="39" spans="2:7" ht="21.75" thickBot="1" x14ac:dyDescent="0.3">
      <c r="B39" s="18" t="s">
        <v>87</v>
      </c>
      <c r="C39" s="25" t="s">
        <v>74</v>
      </c>
      <c r="D39" s="25" t="s">
        <v>75</v>
      </c>
      <c r="E39" s="25" t="s">
        <v>76</v>
      </c>
      <c r="F39" s="11"/>
      <c r="G39" s="25" t="s">
        <v>84</v>
      </c>
    </row>
    <row r="40" spans="2:7" ht="18" x14ac:dyDescent="0.25">
      <c r="B40" s="15" t="s">
        <v>88</v>
      </c>
      <c r="C40" s="11">
        <v>15681539.236207854</v>
      </c>
      <c r="D40" s="11">
        <v>20925279.14432285</v>
      </c>
      <c r="E40" s="11">
        <v>37843276.61423856</v>
      </c>
      <c r="F40" s="11"/>
      <c r="G40" s="11">
        <v>52087764.062408417</v>
      </c>
    </row>
    <row r="41" spans="2:7" ht="18" x14ac:dyDescent="0.25">
      <c r="B41" s="15" t="s">
        <v>89</v>
      </c>
      <c r="C41" s="11">
        <v>12260692.581215391</v>
      </c>
      <c r="D41" s="11">
        <v>14997805.590311313</v>
      </c>
      <c r="E41" s="11">
        <v>17430860.043990001</v>
      </c>
      <c r="F41" s="11"/>
      <c r="G41" s="11">
        <v>45751624.897418886</v>
      </c>
    </row>
    <row r="42" spans="2:7" ht="18" x14ac:dyDescent="0.25">
      <c r="B42" s="15" t="s">
        <v>90</v>
      </c>
      <c r="C42" s="11">
        <v>5668675.5878069904</v>
      </c>
      <c r="D42" s="11">
        <v>8376707.7062578872</v>
      </c>
      <c r="E42" s="11">
        <v>11749847.921911422</v>
      </c>
      <c r="F42" s="11"/>
      <c r="G42" s="11">
        <v>14310466.912507202</v>
      </c>
    </row>
    <row r="43" spans="2:7" ht="18" x14ac:dyDescent="0.25">
      <c r="B43" s="15" t="s">
        <v>91</v>
      </c>
      <c r="C43" s="11">
        <v>8112721.4293823764</v>
      </c>
      <c r="D43" s="11">
        <v>10491475.336665027</v>
      </c>
      <c r="E43" s="11">
        <v>16731435.35432522</v>
      </c>
      <c r="F43" s="11"/>
      <c r="G43" s="11">
        <v>20555383.380259804</v>
      </c>
    </row>
    <row r="44" spans="2:7" ht="18" x14ac:dyDescent="0.25">
      <c r="B44" s="44"/>
      <c r="C44" s="11"/>
      <c r="D44" s="11"/>
      <c r="E44" s="11"/>
      <c r="F44" s="11"/>
      <c r="G44" s="11"/>
    </row>
    <row r="45" spans="2:7" ht="21.75" thickBot="1" x14ac:dyDescent="0.3">
      <c r="B45" s="18" t="s">
        <v>92</v>
      </c>
      <c r="C45" s="25" t="s">
        <v>74</v>
      </c>
      <c r="D45" s="25" t="s">
        <v>75</v>
      </c>
      <c r="E45" s="25" t="s">
        <v>76</v>
      </c>
      <c r="F45" s="11"/>
      <c r="G45" s="25" t="s">
        <v>84</v>
      </c>
    </row>
    <row r="46" spans="2:7" ht="18" x14ac:dyDescent="0.25">
      <c r="B46" s="15" t="s">
        <v>24</v>
      </c>
      <c r="C46" s="8">
        <f>(C40-C42)/(C40)</f>
        <v>0.63851280780407604</v>
      </c>
      <c r="D46" s="8">
        <f>(D40-D42)/(D40)</f>
        <v>0.59968478085844146</v>
      </c>
      <c r="E46" s="8">
        <f>(E40-E42)/(E40)</f>
        <v>0.68951293404941227</v>
      </c>
      <c r="F46" s="11"/>
      <c r="G46" s="8">
        <f>(G40-G42)/(G40)</f>
        <v>0.72526240720639745</v>
      </c>
    </row>
    <row r="47" spans="2:7" ht="18" x14ac:dyDescent="0.25">
      <c r="B47" s="15" t="s">
        <v>25</v>
      </c>
      <c r="C47" s="8">
        <f>((C41-C43)/(C41))</f>
        <v>0.33831458739844122</v>
      </c>
      <c r="D47" s="8">
        <f>((D41-D43)/(D41))</f>
        <v>0.30046597327261043</v>
      </c>
      <c r="E47" s="8">
        <f>((E41-E43)/(E41))</f>
        <v>4.0125655756494717E-2</v>
      </c>
      <c r="F47" s="11"/>
      <c r="G47" s="8">
        <f>((G41-G43)/(G41))</f>
        <v>0.55071795971514326</v>
      </c>
    </row>
    <row r="48" spans="2:7" ht="18" x14ac:dyDescent="0.25">
      <c r="B48" s="27"/>
      <c r="C48" s="11"/>
      <c r="D48" s="11"/>
      <c r="E48" s="11"/>
      <c r="F48" s="11"/>
      <c r="G48" s="11"/>
    </row>
    <row r="49" spans="2:12" ht="21.75" thickBot="1" x14ac:dyDescent="0.3">
      <c r="B49" s="18" t="s">
        <v>93</v>
      </c>
      <c r="C49" s="25" t="s">
        <v>74</v>
      </c>
      <c r="D49" s="25" t="s">
        <v>75</v>
      </c>
      <c r="E49" s="25" t="s">
        <v>76</v>
      </c>
      <c r="F49" s="11"/>
      <c r="G49" s="25" t="s">
        <v>84</v>
      </c>
    </row>
    <row r="50" spans="2:12" ht="18" x14ac:dyDescent="0.25">
      <c r="B50" s="28" t="s">
        <v>94</v>
      </c>
      <c r="C50" s="11">
        <v>75000</v>
      </c>
      <c r="D50" s="11">
        <v>120000</v>
      </c>
      <c r="E50" s="11">
        <v>220000</v>
      </c>
      <c r="F50" s="11"/>
      <c r="G50" s="11">
        <v>220000</v>
      </c>
    </row>
    <row r="51" spans="2:12" ht="18" x14ac:dyDescent="0.25">
      <c r="B51" s="27"/>
      <c r="C51" s="11"/>
      <c r="D51" s="11"/>
      <c r="E51" s="11"/>
      <c r="F51" s="11"/>
      <c r="G51" s="11"/>
    </row>
    <row r="52" spans="2:12" ht="21.75" thickBot="1" x14ac:dyDescent="0.3">
      <c r="B52" s="18" t="s">
        <v>95</v>
      </c>
      <c r="C52" s="25" t="s">
        <v>74</v>
      </c>
      <c r="D52" s="25" t="s">
        <v>75</v>
      </c>
      <c r="E52" s="25" t="s">
        <v>76</v>
      </c>
      <c r="F52" s="11"/>
      <c r="G52" s="25" t="s">
        <v>84</v>
      </c>
    </row>
    <row r="53" spans="2:12" ht="19.5" x14ac:dyDescent="0.25">
      <c r="B53" s="29" t="s">
        <v>88</v>
      </c>
      <c r="C53" s="30">
        <f>C40/C50</f>
        <v>209.08718981610471</v>
      </c>
      <c r="D53" s="30">
        <f t="shared" ref="D53:G53" si="15">D40/D50</f>
        <v>174.37732620269043</v>
      </c>
      <c r="E53" s="30">
        <f t="shared" si="15"/>
        <v>172.01489370108436</v>
      </c>
      <c r="F53" s="30"/>
      <c r="G53" s="30">
        <f t="shared" si="15"/>
        <v>236.76256392003828</v>
      </c>
    </row>
    <row r="54" spans="2:12" ht="19.5" x14ac:dyDescent="0.25">
      <c r="B54" s="29" t="s">
        <v>89</v>
      </c>
      <c r="C54" s="30">
        <f>C41/C50</f>
        <v>163.47590108287187</v>
      </c>
      <c r="D54" s="30">
        <f>D41/D50</f>
        <v>124.98171325259428</v>
      </c>
      <c r="E54" s="30">
        <f>E41/E50</f>
        <v>79.231182018136366</v>
      </c>
      <c r="F54" s="31"/>
      <c r="G54" s="30">
        <f>G41/G50</f>
        <v>207.96193135190404</v>
      </c>
    </row>
    <row r="55" spans="2:12" ht="19.5" x14ac:dyDescent="0.25">
      <c r="B55" s="32" t="s">
        <v>90</v>
      </c>
      <c r="C55" s="33">
        <f>C42/C50</f>
        <v>75.582341170759875</v>
      </c>
      <c r="D55" s="33">
        <f>D42/D50</f>
        <v>69.805897552149062</v>
      </c>
      <c r="E55" s="33">
        <f>E42/E50</f>
        <v>53.408399645051922</v>
      </c>
      <c r="F55" s="33"/>
      <c r="G55" s="33">
        <f>G42/G50</f>
        <v>65.047576875032732</v>
      </c>
    </row>
    <row r="56" spans="2:12" ht="19.5" x14ac:dyDescent="0.25">
      <c r="B56" s="32" t="s">
        <v>91</v>
      </c>
      <c r="C56" s="33">
        <f>C43/C50</f>
        <v>108.16961905843168</v>
      </c>
      <c r="D56" s="33">
        <f>D43/D50</f>
        <v>87.428961138875223</v>
      </c>
      <c r="E56" s="33">
        <f>E43/E50</f>
        <v>76.051978883296457</v>
      </c>
      <c r="F56" s="33"/>
      <c r="G56" s="33">
        <f>G43/G50</f>
        <v>93.433560819362754</v>
      </c>
    </row>
    <row r="57" spans="2:12" ht="18" x14ac:dyDescent="0.25">
      <c r="B57" s="27"/>
      <c r="C57" s="11"/>
      <c r="D57" s="11"/>
      <c r="E57" s="11"/>
      <c r="F57" s="11"/>
      <c r="G57" s="11"/>
    </row>
    <row r="58" spans="2:12" ht="21.75" thickBot="1" x14ac:dyDescent="0.3">
      <c r="B58" s="18" t="s">
        <v>96</v>
      </c>
      <c r="C58" s="25" t="s">
        <v>74</v>
      </c>
      <c r="D58" s="25" t="s">
        <v>75</v>
      </c>
      <c r="E58" s="25" t="s">
        <v>76</v>
      </c>
      <c r="F58" s="11"/>
      <c r="G58" s="25" t="s">
        <v>84</v>
      </c>
    </row>
    <row r="59" spans="2:12" ht="19.5" x14ac:dyDescent="0.25">
      <c r="B59" s="29" t="s">
        <v>88</v>
      </c>
      <c r="C59" s="30" t="s">
        <v>73</v>
      </c>
      <c r="D59" s="30" t="s">
        <v>73</v>
      </c>
      <c r="E59" s="30" t="s">
        <v>73</v>
      </c>
      <c r="F59" s="31"/>
      <c r="G59" s="30" t="s">
        <v>73</v>
      </c>
    </row>
    <row r="60" spans="2:12" ht="19.5" x14ac:dyDescent="0.25">
      <c r="B60" s="29" t="s">
        <v>89</v>
      </c>
      <c r="C60" s="34">
        <f>C54/C53</f>
        <v>0.78185517356013701</v>
      </c>
      <c r="D60" s="34">
        <f>D54/D53</f>
        <v>0.71673144653749121</v>
      </c>
      <c r="E60" s="34">
        <f>E54/E53</f>
        <v>0.46060652257134699</v>
      </c>
      <c r="F60" s="34"/>
      <c r="G60" s="34">
        <f>G54/G53</f>
        <v>0.87835647624655278</v>
      </c>
    </row>
    <row r="61" spans="2:12" ht="18" x14ac:dyDescent="0.25">
      <c r="B61" s="27"/>
      <c r="C61" s="11"/>
      <c r="D61" s="11"/>
      <c r="E61" s="11"/>
      <c r="F61" s="11"/>
      <c r="G61" s="11"/>
    </row>
    <row r="62" spans="2:12" ht="21.75" thickBot="1" x14ac:dyDescent="0.3">
      <c r="B62" s="18" t="s">
        <v>82</v>
      </c>
      <c r="C62" s="25" t="s">
        <v>74</v>
      </c>
      <c r="D62" s="25" t="s">
        <v>75</v>
      </c>
      <c r="E62" s="25" t="s">
        <v>76</v>
      </c>
      <c r="F62" s="11"/>
      <c r="G62" s="25" t="s">
        <v>84</v>
      </c>
      <c r="H62" s="25" t="s">
        <v>97</v>
      </c>
      <c r="I62" s="35" t="s">
        <v>99</v>
      </c>
      <c r="J62" s="35" t="s">
        <v>100</v>
      </c>
      <c r="L62" s="35" t="s">
        <v>101</v>
      </c>
    </row>
    <row r="63" spans="2:12" ht="18" x14ac:dyDescent="0.25">
      <c r="B63" s="15" t="s">
        <v>77</v>
      </c>
      <c r="C63" s="5" t="s">
        <v>73</v>
      </c>
      <c r="D63" s="5" t="s">
        <v>73</v>
      </c>
      <c r="E63" s="5" t="s">
        <v>73</v>
      </c>
      <c r="F63" s="5"/>
      <c r="G63" s="5" t="s">
        <v>73</v>
      </c>
      <c r="H63" s="5" t="s">
        <v>73</v>
      </c>
      <c r="I63" s="5" t="s">
        <v>73</v>
      </c>
      <c r="L63" s="36" t="s">
        <v>73</v>
      </c>
    </row>
    <row r="64" spans="2:12" ht="19.5" x14ac:dyDescent="0.25">
      <c r="B64" s="15" t="s">
        <v>79</v>
      </c>
      <c r="C64" s="36">
        <f>C16/C14</f>
        <v>0.61805717516856407</v>
      </c>
      <c r="D64" s="36">
        <f t="shared" ref="D64:I64" si="16">D16/D14</f>
        <v>0.47862301860362699</v>
      </c>
      <c r="E64" s="36">
        <f t="shared" si="16"/>
        <v>0.83175893566459191</v>
      </c>
      <c r="F64" s="36"/>
      <c r="G64" s="36">
        <f t="shared" si="16"/>
        <v>0.84164190817870954</v>
      </c>
      <c r="H64" s="36">
        <f t="shared" si="16"/>
        <v>0.83175893566459191</v>
      </c>
      <c r="I64" s="36">
        <f t="shared" si="16"/>
        <v>0.75691853080889893</v>
      </c>
      <c r="J64" s="41">
        <f>I64/H64-1</f>
        <v>-8.9978480118033222E-2</v>
      </c>
      <c r="L64" s="36">
        <f>(I64+H64+G64+E64+D64+C64)/6</f>
        <v>0.72645975068149715</v>
      </c>
    </row>
    <row r="65" spans="2:12" ht="19.5" x14ac:dyDescent="0.25">
      <c r="B65" s="15" t="s">
        <v>78</v>
      </c>
      <c r="C65" s="45">
        <f>C22/C21</f>
        <v>0.70582816194205067</v>
      </c>
      <c r="D65" s="45">
        <f t="shared" ref="D65:I65" si="17">D22/D21</f>
        <v>0.71842571529318833</v>
      </c>
      <c r="E65" s="45">
        <f t="shared" si="17"/>
        <v>0.62204816608239122</v>
      </c>
      <c r="F65" s="45"/>
      <c r="G65" s="45">
        <f t="shared" si="17"/>
        <v>0.82940885683977084</v>
      </c>
      <c r="H65" s="45">
        <f t="shared" si="17"/>
        <v>0.62204816608239122</v>
      </c>
      <c r="I65" s="45">
        <f t="shared" si="17"/>
        <v>0.79163571103008201</v>
      </c>
      <c r="J65" s="47">
        <f t="shared" ref="J65:J66" si="18">I65/H65-1</f>
        <v>0.27262767450266656</v>
      </c>
      <c r="L65" s="36">
        <f>(I65+H65+G65+E65+D65+C65)/6</f>
        <v>0.71489912954497903</v>
      </c>
    </row>
    <row r="66" spans="2:12" ht="19.5" x14ac:dyDescent="0.25">
      <c r="B66" s="15" t="s">
        <v>80</v>
      </c>
      <c r="C66" s="36">
        <f>C24/C21</f>
        <v>0.68793425710585043</v>
      </c>
      <c r="D66" s="36">
        <f t="shared" ref="D66:I66" si="19">D24/D21</f>
        <v>0.61748764765992281</v>
      </c>
      <c r="E66" s="36">
        <f t="shared" si="19"/>
        <v>0.35894878352307558</v>
      </c>
      <c r="F66" s="36"/>
      <c r="G66" s="36">
        <f t="shared" si="19"/>
        <v>0.82732768629032727</v>
      </c>
      <c r="H66" s="36">
        <f t="shared" si="19"/>
        <v>0.35894878352307558</v>
      </c>
      <c r="I66" s="36">
        <f t="shared" si="19"/>
        <v>0.81801904062767172</v>
      </c>
      <c r="J66" s="41">
        <f t="shared" si="18"/>
        <v>1.2789296918597417</v>
      </c>
      <c r="L66" s="36">
        <f>(I66+H66+G66+E66+D66+C66)/6</f>
        <v>0.61144436645498723</v>
      </c>
    </row>
    <row r="67" spans="2:12" ht="18" x14ac:dyDescent="0.25">
      <c r="B67" s="27"/>
      <c r="C67" s="11"/>
      <c r="D67" s="11"/>
      <c r="E67" s="11"/>
      <c r="F67" s="11"/>
      <c r="G67" s="11"/>
    </row>
    <row r="68" spans="2:12" ht="21.75" thickBot="1" x14ac:dyDescent="0.3">
      <c r="B68" s="18" t="s">
        <v>98</v>
      </c>
      <c r="C68" s="25" t="s">
        <v>74</v>
      </c>
      <c r="D68" s="25" t="s">
        <v>75</v>
      </c>
      <c r="E68" s="25" t="s">
        <v>76</v>
      </c>
      <c r="F68" s="11"/>
      <c r="G68" s="25" t="s">
        <v>84</v>
      </c>
      <c r="H68" s="25" t="s">
        <v>97</v>
      </c>
      <c r="I68" s="35" t="s">
        <v>99</v>
      </c>
      <c r="J68" s="35" t="s">
        <v>100</v>
      </c>
      <c r="L68" s="35" t="s">
        <v>101</v>
      </c>
    </row>
    <row r="69" spans="2:12" ht="19.5" x14ac:dyDescent="0.25">
      <c r="B69" s="15" t="s">
        <v>77</v>
      </c>
      <c r="C69" s="36">
        <f>(C7)/(C7+C9)</f>
        <v>0.5294324586600998</v>
      </c>
      <c r="D69" s="36">
        <f t="shared" ref="D69:I69" si="20">(D7)/(D7+D9)</f>
        <v>0.61879994270111094</v>
      </c>
      <c r="E69" s="36">
        <f t="shared" si="20"/>
        <v>0.48841866863822259</v>
      </c>
      <c r="F69" s="36"/>
      <c r="G69" s="36">
        <f t="shared" si="20"/>
        <v>0.5098772113790887</v>
      </c>
      <c r="H69" s="36">
        <f t="shared" si="20"/>
        <v>0.48841866863822259</v>
      </c>
      <c r="I69" s="36">
        <f t="shared" si="20"/>
        <v>0.52809786239144951</v>
      </c>
      <c r="J69" s="41">
        <f>I69/H69-1</f>
        <v>8.1240125124327989E-2</v>
      </c>
      <c r="L69" s="36">
        <f>(I69+H69+G69+E69+D69+C69)/6</f>
        <v>0.52717413540136571</v>
      </c>
    </row>
    <row r="70" spans="2:12" ht="19.5" x14ac:dyDescent="0.25">
      <c r="B70" s="15" t="s">
        <v>78</v>
      </c>
      <c r="C70" s="36">
        <f>(C8)/(C8+C10)</f>
        <v>0.1610305958132045</v>
      </c>
      <c r="D70" s="36">
        <f t="shared" ref="D70:I70" si="21">(D8)/(D8+D10)</f>
        <v>0.43305296658331438</v>
      </c>
      <c r="E70" s="36">
        <f t="shared" si="21"/>
        <v>0.14187425860023725</v>
      </c>
      <c r="F70" s="36"/>
      <c r="G70" s="36">
        <f t="shared" si="21"/>
        <v>0.51759834368530022</v>
      </c>
      <c r="H70" s="36">
        <f t="shared" si="21"/>
        <v>0.14187425860023725</v>
      </c>
      <c r="I70" s="36">
        <f t="shared" si="21"/>
        <v>0.47755491881566381</v>
      </c>
      <c r="J70" s="41">
        <f t="shared" ref="J70:J72" si="22">I70/H70-1</f>
        <v>2.3660434495117442</v>
      </c>
      <c r="L70" s="36">
        <f t="shared" ref="L70:L72" si="23">(I70+H70+G70+E70+D70+C70)/6</f>
        <v>0.31216422368299296</v>
      </c>
    </row>
    <row r="71" spans="2:12" ht="19.5" x14ac:dyDescent="0.25">
      <c r="B71" s="15" t="s">
        <v>79</v>
      </c>
      <c r="C71" s="36">
        <f>1-C69</f>
        <v>0.4705675413399002</v>
      </c>
      <c r="D71" s="36">
        <f t="shared" ref="D71:I71" si="24">1-D69</f>
        <v>0.38120005729888906</v>
      </c>
      <c r="E71" s="36">
        <f t="shared" si="24"/>
        <v>0.51158133136177741</v>
      </c>
      <c r="F71" s="36"/>
      <c r="G71" s="36">
        <f t="shared" si="24"/>
        <v>0.4901227886209113</v>
      </c>
      <c r="H71" s="36">
        <f t="shared" si="24"/>
        <v>0.51158133136177741</v>
      </c>
      <c r="I71" s="36">
        <f t="shared" si="24"/>
        <v>0.47190213760855049</v>
      </c>
      <c r="J71" s="41">
        <f t="shared" si="22"/>
        <v>-7.756184856786108E-2</v>
      </c>
      <c r="L71" s="36">
        <f t="shared" si="23"/>
        <v>0.47282586459863429</v>
      </c>
    </row>
    <row r="72" spans="2:12" ht="19.5" x14ac:dyDescent="0.25">
      <c r="B72" s="15" t="s">
        <v>80</v>
      </c>
      <c r="C72" s="36">
        <f>1-C70</f>
        <v>0.83896940418679544</v>
      </c>
      <c r="D72" s="36">
        <f t="shared" ref="D72:I72" si="25">1-D70</f>
        <v>0.56694703341668562</v>
      </c>
      <c r="E72" s="36">
        <f t="shared" si="25"/>
        <v>0.85812574139976272</v>
      </c>
      <c r="F72" s="36"/>
      <c r="G72" s="36">
        <f t="shared" si="25"/>
        <v>0.48240165631469978</v>
      </c>
      <c r="H72" s="36">
        <f t="shared" si="25"/>
        <v>0.85812574139976272</v>
      </c>
      <c r="I72" s="36">
        <f t="shared" si="25"/>
        <v>0.52244508118433619</v>
      </c>
      <c r="J72" s="41">
        <f t="shared" si="22"/>
        <v>-0.39117887276970498</v>
      </c>
      <c r="L72" s="36">
        <f t="shared" si="23"/>
        <v>0.68783577631700699</v>
      </c>
    </row>
    <row r="76" spans="2:12" ht="18" x14ac:dyDescent="0.25">
      <c r="C76" s="11">
        <v>219240</v>
      </c>
      <c r="D76" s="11">
        <v>190669</v>
      </c>
      <c r="E76" s="11">
        <v>316394</v>
      </c>
      <c r="G76" s="11">
        <v>101804</v>
      </c>
    </row>
    <row r="77" spans="2:12" ht="18" x14ac:dyDescent="0.25">
      <c r="C77" s="11">
        <f>(C76*1000000)/C11</f>
        <v>325307.96235900203</v>
      </c>
      <c r="D77" s="11">
        <f t="shared" ref="D77:E77" si="26">(D76*1000000)/D11</f>
        <v>279757.90477587853</v>
      </c>
      <c r="E77" s="11">
        <f t="shared" si="26"/>
        <v>490280.21192159707</v>
      </c>
      <c r="F77" s="11"/>
      <c r="G77" s="11">
        <f>(G76*1000000)/G11</f>
        <v>567754.16875801689</v>
      </c>
    </row>
    <row r="78" spans="2:12" ht="18" x14ac:dyDescent="0.25">
      <c r="C78" s="11">
        <f>C77/C50</f>
        <v>4.3374394981200268</v>
      </c>
      <c r="D78" s="57">
        <f t="shared" ref="D78:G78" si="27">D77/D50</f>
        <v>2.3313158731323211</v>
      </c>
      <c r="E78" s="57">
        <f t="shared" si="27"/>
        <v>2.2285464178254411</v>
      </c>
      <c r="F78" s="57"/>
      <c r="G78" s="57">
        <f t="shared" si="27"/>
        <v>2.5807007670818951</v>
      </c>
    </row>
  </sheetData>
  <conditionalFormatting sqref="J2:J4">
    <cfRule type="dataBar" priority="6">
      <dataBar>
        <cfvo type="min"/>
        <cfvo type="max"/>
        <color rgb="FF63C384"/>
      </dataBar>
      <extLst>
        <ext xmlns:x14="http://schemas.microsoft.com/office/spreadsheetml/2009/9/main" uri="{B025F937-C7B1-47D3-B67F-A62EFF666E3E}">
          <x14:id>{0BBD15E5-46D5-4C2B-BB94-EAF2CB3BD831}</x14:id>
        </ext>
      </extLst>
    </cfRule>
  </conditionalFormatting>
  <conditionalFormatting sqref="J7:J11">
    <cfRule type="dataBar" priority="5">
      <dataBar>
        <cfvo type="min"/>
        <cfvo type="max"/>
        <color rgb="FF63C384"/>
      </dataBar>
      <extLst>
        <ext xmlns:x14="http://schemas.microsoft.com/office/spreadsheetml/2009/9/main" uri="{B025F937-C7B1-47D3-B67F-A62EFF666E3E}">
          <x14:id>{772DF561-CE78-4D28-A42E-21AB01383D16}</x14:id>
        </ext>
      </extLst>
    </cfRule>
  </conditionalFormatting>
  <conditionalFormatting sqref="J14:J18">
    <cfRule type="dataBar" priority="4">
      <dataBar>
        <cfvo type="min"/>
        <cfvo type="max"/>
        <color rgb="FF63C384"/>
      </dataBar>
      <extLst>
        <ext xmlns:x14="http://schemas.microsoft.com/office/spreadsheetml/2009/9/main" uri="{B025F937-C7B1-47D3-B67F-A62EFF666E3E}">
          <x14:id>{6791C126-FBE1-420C-9176-201CDA032476}</x14:id>
        </ext>
      </extLst>
    </cfRule>
  </conditionalFormatting>
  <conditionalFormatting sqref="J21:J24">
    <cfRule type="dataBar" priority="3">
      <dataBar>
        <cfvo type="min"/>
        <cfvo type="max"/>
        <color rgb="FF63C384"/>
      </dataBar>
      <extLst>
        <ext xmlns:x14="http://schemas.microsoft.com/office/spreadsheetml/2009/9/main" uri="{B025F937-C7B1-47D3-B67F-A62EFF666E3E}">
          <x14:id>{78917D03-6A74-4F13-B98C-688B13E9C4D6}</x14:id>
        </ext>
      </extLst>
    </cfRule>
  </conditionalFormatting>
  <conditionalFormatting sqref="J64:J66">
    <cfRule type="dataBar" priority="2">
      <dataBar>
        <cfvo type="min"/>
        <cfvo type="max"/>
        <color rgb="FF63C384"/>
      </dataBar>
      <extLst>
        <ext xmlns:x14="http://schemas.microsoft.com/office/spreadsheetml/2009/9/main" uri="{B025F937-C7B1-47D3-B67F-A62EFF666E3E}">
          <x14:id>{B3C30A13-D92F-4E44-AD49-9B570DFC1A33}</x14:id>
        </ext>
      </extLst>
    </cfRule>
  </conditionalFormatting>
  <conditionalFormatting sqref="J69:J72">
    <cfRule type="dataBar" priority="1">
      <dataBar>
        <cfvo type="min"/>
        <cfvo type="max"/>
        <color rgb="FF63C384"/>
      </dataBar>
      <extLst>
        <ext xmlns:x14="http://schemas.microsoft.com/office/spreadsheetml/2009/9/main" uri="{B025F937-C7B1-47D3-B67F-A62EFF666E3E}">
          <x14:id>{AF0F2466-F0BD-405E-8F23-36353A5ACF76}</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BBD15E5-46D5-4C2B-BB94-EAF2CB3BD831}">
            <x14:dataBar minLength="0" maxLength="100" gradient="0">
              <x14:cfvo type="autoMin"/>
              <x14:cfvo type="autoMax"/>
              <x14:negativeFillColor rgb="FFFF0000"/>
              <x14:axisColor rgb="FF000000"/>
            </x14:dataBar>
          </x14:cfRule>
          <xm:sqref>J2:J4</xm:sqref>
        </x14:conditionalFormatting>
        <x14:conditionalFormatting xmlns:xm="http://schemas.microsoft.com/office/excel/2006/main">
          <x14:cfRule type="dataBar" id="{772DF561-CE78-4D28-A42E-21AB01383D16}">
            <x14:dataBar minLength="0" maxLength="100" gradient="0">
              <x14:cfvo type="autoMin"/>
              <x14:cfvo type="autoMax"/>
              <x14:negativeFillColor rgb="FFFF0000"/>
              <x14:axisColor rgb="FF000000"/>
            </x14:dataBar>
          </x14:cfRule>
          <xm:sqref>J7:J11</xm:sqref>
        </x14:conditionalFormatting>
        <x14:conditionalFormatting xmlns:xm="http://schemas.microsoft.com/office/excel/2006/main">
          <x14:cfRule type="dataBar" id="{6791C126-FBE1-420C-9176-201CDA032476}">
            <x14:dataBar minLength="0" maxLength="100" gradient="0">
              <x14:cfvo type="autoMin"/>
              <x14:cfvo type="autoMax"/>
              <x14:negativeFillColor rgb="FFFF0000"/>
              <x14:axisColor rgb="FF000000"/>
            </x14:dataBar>
          </x14:cfRule>
          <xm:sqref>J14:J18</xm:sqref>
        </x14:conditionalFormatting>
        <x14:conditionalFormatting xmlns:xm="http://schemas.microsoft.com/office/excel/2006/main">
          <x14:cfRule type="dataBar" id="{78917D03-6A74-4F13-B98C-688B13E9C4D6}">
            <x14:dataBar minLength="0" maxLength="100" gradient="0">
              <x14:cfvo type="autoMin"/>
              <x14:cfvo type="autoMax"/>
              <x14:negativeFillColor rgb="FFFF0000"/>
              <x14:axisColor rgb="FF000000"/>
            </x14:dataBar>
          </x14:cfRule>
          <xm:sqref>J21:J24</xm:sqref>
        </x14:conditionalFormatting>
        <x14:conditionalFormatting xmlns:xm="http://schemas.microsoft.com/office/excel/2006/main">
          <x14:cfRule type="dataBar" id="{B3C30A13-D92F-4E44-AD49-9B570DFC1A33}">
            <x14:dataBar minLength="0" maxLength="100" gradient="0">
              <x14:cfvo type="autoMin"/>
              <x14:cfvo type="autoMax"/>
              <x14:negativeFillColor rgb="FFFF0000"/>
              <x14:axisColor rgb="FF000000"/>
            </x14:dataBar>
          </x14:cfRule>
          <xm:sqref>J64:J66</xm:sqref>
        </x14:conditionalFormatting>
        <x14:conditionalFormatting xmlns:xm="http://schemas.microsoft.com/office/excel/2006/main">
          <x14:cfRule type="dataBar" id="{AF0F2466-F0BD-405E-8F23-36353A5ACF76}">
            <x14:dataBar minLength="0" maxLength="100" gradient="0">
              <x14:cfvo type="autoMin"/>
              <x14:cfvo type="autoMax"/>
              <x14:negativeFillColor rgb="FFFF0000"/>
              <x14:axisColor rgb="FF000000"/>
            </x14:dataBar>
          </x14:cfRule>
          <xm:sqref>J69:J72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6"/>
  <sheetViews>
    <sheetView showGridLines="0" rightToLeft="1" workbookViewId="0">
      <selection activeCell="G2" sqref="G2:G12"/>
    </sheetView>
  </sheetViews>
  <sheetFormatPr defaultRowHeight="15" x14ac:dyDescent="0.25"/>
  <cols>
    <col min="2" max="2" width="38.42578125" bestFit="1" customWidth="1"/>
    <col min="3" max="3" width="11.28515625" bestFit="1" customWidth="1"/>
    <col min="4" max="4" width="11.5703125" bestFit="1" customWidth="1"/>
    <col min="5" max="5" width="11.28515625" bestFit="1" customWidth="1"/>
    <col min="6" max="6" width="10.5703125" bestFit="1" customWidth="1"/>
    <col min="7" max="7" width="12.140625" customWidth="1"/>
  </cols>
  <sheetData>
    <row r="1" spans="2:7" ht="21.75" thickBot="1" x14ac:dyDescent="0.3">
      <c r="B1" s="2" t="s">
        <v>13</v>
      </c>
      <c r="C1" s="3" t="s">
        <v>14</v>
      </c>
      <c r="D1" s="3" t="s">
        <v>15</v>
      </c>
      <c r="E1" s="3" t="s">
        <v>16</v>
      </c>
      <c r="F1" s="3" t="s">
        <v>17</v>
      </c>
      <c r="G1" s="3" t="s">
        <v>69</v>
      </c>
    </row>
    <row r="2" spans="2:7" ht="18" x14ac:dyDescent="0.25">
      <c r="B2" s="4" t="s">
        <v>0</v>
      </c>
      <c r="C2" s="5">
        <v>4054635</v>
      </c>
      <c r="D2" s="5">
        <v>5876332</v>
      </c>
      <c r="E2" s="5">
        <v>6886433</v>
      </c>
      <c r="F2" s="5">
        <v>7197439</v>
      </c>
      <c r="G2" s="5">
        <v>9287246</v>
      </c>
    </row>
    <row r="3" spans="2:7" ht="18" x14ac:dyDescent="0.25">
      <c r="B3" s="4" t="s">
        <v>1</v>
      </c>
      <c r="C3" s="5">
        <v>-1043208</v>
      </c>
      <c r="D3" s="5">
        <v>-1331153</v>
      </c>
      <c r="E3" s="5">
        <v>-2231547</v>
      </c>
      <c r="F3" s="5">
        <v>-2997654</v>
      </c>
      <c r="G3" s="5">
        <v>-2578075</v>
      </c>
    </row>
    <row r="4" spans="2:7" ht="18" x14ac:dyDescent="0.25">
      <c r="B4" s="6" t="s">
        <v>2</v>
      </c>
      <c r="C4" s="7">
        <v>3011427</v>
      </c>
      <c r="D4" s="7">
        <v>4545179</v>
      </c>
      <c r="E4" s="7">
        <v>4654886</v>
      </c>
      <c r="F4" s="7">
        <v>4199785</v>
      </c>
      <c r="G4" s="7">
        <v>6709171</v>
      </c>
    </row>
    <row r="5" spans="2:7" ht="18" x14ac:dyDescent="0.25">
      <c r="B5" s="4" t="s">
        <v>3</v>
      </c>
      <c r="C5" s="5">
        <v>-291340</v>
      </c>
      <c r="D5" s="5">
        <v>-361843</v>
      </c>
      <c r="E5" s="5">
        <v>-408851</v>
      </c>
      <c r="F5" s="5">
        <v>-484739</v>
      </c>
      <c r="G5" s="5">
        <v>-578081</v>
      </c>
    </row>
    <row r="6" spans="2:7" ht="18" x14ac:dyDescent="0.25">
      <c r="B6" s="4" t="s">
        <v>4</v>
      </c>
      <c r="C6" s="5">
        <v>10776</v>
      </c>
      <c r="D6" s="5">
        <v>-50405</v>
      </c>
      <c r="E6" s="5">
        <v>-192196</v>
      </c>
      <c r="F6" s="5">
        <v>259670</v>
      </c>
      <c r="G6" s="5">
        <v>-262799</v>
      </c>
    </row>
    <row r="7" spans="2:7" ht="18" x14ac:dyDescent="0.25">
      <c r="B7" s="6" t="s">
        <v>5</v>
      </c>
      <c r="C7" s="7">
        <v>2730863</v>
      </c>
      <c r="D7" s="7">
        <v>4132931</v>
      </c>
      <c r="E7" s="7">
        <v>4053839</v>
      </c>
      <c r="F7" s="7">
        <v>3974716</v>
      </c>
      <c r="G7" s="7">
        <v>5868291</v>
      </c>
    </row>
    <row r="8" spans="2:7" ht="18" x14ac:dyDescent="0.25">
      <c r="B8" s="4" t="s">
        <v>6</v>
      </c>
      <c r="C8" s="5">
        <v>-16978</v>
      </c>
      <c r="D8" s="5">
        <v>-39991</v>
      </c>
      <c r="E8" s="5">
        <v>-49073</v>
      </c>
      <c r="F8" s="5">
        <v>-67934</v>
      </c>
      <c r="G8" s="5">
        <v>-70253</v>
      </c>
    </row>
    <row r="9" spans="2:7" ht="18" x14ac:dyDescent="0.25">
      <c r="B9" s="4" t="s">
        <v>7</v>
      </c>
      <c r="C9" s="5">
        <v>19666</v>
      </c>
      <c r="D9" s="5">
        <v>-560876</v>
      </c>
      <c r="E9" s="5">
        <v>-976337</v>
      </c>
      <c r="F9" s="5">
        <v>-768134</v>
      </c>
      <c r="G9" s="5">
        <v>-544702</v>
      </c>
    </row>
    <row r="10" spans="2:7" ht="18" x14ac:dyDescent="0.25">
      <c r="B10" s="6" t="s">
        <v>8</v>
      </c>
      <c r="C10" s="7">
        <v>2733551</v>
      </c>
      <c r="D10" s="7">
        <v>3532064</v>
      </c>
      <c r="E10" s="7">
        <v>3028429</v>
      </c>
      <c r="F10" s="7">
        <v>3138648</v>
      </c>
      <c r="G10" s="7">
        <v>5253336</v>
      </c>
    </row>
    <row r="11" spans="2:7" ht="18" x14ac:dyDescent="0.25">
      <c r="B11" s="4" t="s">
        <v>9</v>
      </c>
      <c r="C11" s="5">
        <v>0</v>
      </c>
      <c r="D11" s="5">
        <v>0</v>
      </c>
      <c r="E11" s="5">
        <v>0</v>
      </c>
      <c r="F11" s="5">
        <v>0</v>
      </c>
      <c r="G11" s="5">
        <v>0</v>
      </c>
    </row>
    <row r="12" spans="2:7" ht="18" x14ac:dyDescent="0.25">
      <c r="B12" s="6" t="s">
        <v>10</v>
      </c>
      <c r="C12" s="7">
        <v>2733551</v>
      </c>
      <c r="D12" s="7">
        <v>3532064</v>
      </c>
      <c r="E12" s="7">
        <v>3028429</v>
      </c>
      <c r="F12" s="7">
        <v>3138648</v>
      </c>
      <c r="G12" s="7">
        <v>5253336</v>
      </c>
    </row>
    <row r="13" spans="2:7" ht="18" x14ac:dyDescent="0.25">
      <c r="B13" s="4" t="s">
        <v>12</v>
      </c>
      <c r="C13" s="5">
        <v>775</v>
      </c>
      <c r="D13" s="5">
        <v>1001</v>
      </c>
      <c r="E13" s="5">
        <v>858</v>
      </c>
      <c r="F13" s="5">
        <v>889</v>
      </c>
      <c r="G13" s="5">
        <v>1489</v>
      </c>
    </row>
    <row r="14" spans="2:7" ht="18" x14ac:dyDescent="0.25">
      <c r="B14" s="4" t="s">
        <v>11</v>
      </c>
      <c r="C14" s="5">
        <v>3529200</v>
      </c>
      <c r="D14" s="5">
        <v>3259200</v>
      </c>
      <c r="E14" s="5">
        <v>3529200</v>
      </c>
      <c r="F14" s="5">
        <v>3529200</v>
      </c>
      <c r="G14" s="5">
        <v>3529200</v>
      </c>
    </row>
    <row r="15" spans="2:7" x14ac:dyDescent="0.25">
      <c r="G15" s="1"/>
    </row>
    <row r="16" spans="2:7" ht="18" x14ac:dyDescent="0.25">
      <c r="B16" s="4" t="s">
        <v>18</v>
      </c>
      <c r="C16" s="8">
        <f>C4/C2</f>
        <v>0.74271222933753589</v>
      </c>
      <c r="D16" s="8">
        <f t="shared" ref="D16:E16" si="0">D4/D2</f>
        <v>0.77347212512839647</v>
      </c>
      <c r="E16" s="8">
        <f t="shared" si="0"/>
        <v>0.67595023432305235</v>
      </c>
      <c r="F16" s="9">
        <f>F4/F2</f>
        <v>0.5835110238516783</v>
      </c>
      <c r="G16" s="9">
        <f>G4/G2</f>
        <v>0.72240694388842508</v>
      </c>
    </row>
    <row r="17" spans="2:7" ht="18" x14ac:dyDescent="0.25">
      <c r="B17" s="4" t="s">
        <v>19</v>
      </c>
      <c r="C17" s="8">
        <f>C7/C2</f>
        <v>0.67351635843916902</v>
      </c>
      <c r="D17" s="8">
        <f t="shared" ref="D17:F17" si="1">D7/D2</f>
        <v>0.70331815833414446</v>
      </c>
      <c r="E17" s="8">
        <f t="shared" si="1"/>
        <v>0.58867036098369063</v>
      </c>
      <c r="F17" s="8">
        <f t="shared" si="1"/>
        <v>0.55224031770189363</v>
      </c>
      <c r="G17" s="8">
        <f t="shared" ref="G17" si="2">G7/G2</f>
        <v>0.63186557134375465</v>
      </c>
    </row>
    <row r="18" spans="2:7" ht="18" x14ac:dyDescent="0.25">
      <c r="B18" s="4" t="s">
        <v>20</v>
      </c>
      <c r="C18" s="8">
        <f>C12/C2</f>
        <v>0.67417930343915056</v>
      </c>
      <c r="D18" s="8">
        <f t="shared" ref="D18:F18" si="3">D12/D2</f>
        <v>0.60106610722471088</v>
      </c>
      <c r="E18" s="8">
        <f t="shared" si="3"/>
        <v>0.4397674383821058</v>
      </c>
      <c r="F18" s="8">
        <f t="shared" si="3"/>
        <v>0.43607844401321083</v>
      </c>
      <c r="G18" s="8">
        <f t="shared" ref="G18" si="4">G12/G2</f>
        <v>0.56565057068586322</v>
      </c>
    </row>
    <row r="19" spans="2:7" ht="18" x14ac:dyDescent="0.25">
      <c r="B19" s="4" t="s">
        <v>21</v>
      </c>
      <c r="C19" s="8">
        <f>-C11/C10</f>
        <v>0</v>
      </c>
      <c r="D19" s="8">
        <f t="shared" ref="D19:F19" si="5">-D11/D10</f>
        <v>0</v>
      </c>
      <c r="E19" s="8">
        <f t="shared" si="5"/>
        <v>0</v>
      </c>
      <c r="F19" s="8">
        <f t="shared" si="5"/>
        <v>0</v>
      </c>
      <c r="G19" s="8">
        <f t="shared" ref="G19" si="6">-G11/G10</f>
        <v>0</v>
      </c>
    </row>
    <row r="20" spans="2:7" ht="18" x14ac:dyDescent="0.25">
      <c r="B20" s="10"/>
      <c r="C20" s="11"/>
      <c r="D20" s="11"/>
      <c r="E20" s="11"/>
      <c r="F20" s="11"/>
      <c r="G20" s="11"/>
    </row>
    <row r="21" spans="2:7" ht="18" x14ac:dyDescent="0.25">
      <c r="B21" s="4" t="s">
        <v>22</v>
      </c>
      <c r="C21" s="11">
        <v>145000</v>
      </c>
      <c r="D21" s="11">
        <v>190000</v>
      </c>
      <c r="E21" s="11">
        <v>245000</v>
      </c>
      <c r="F21" s="11">
        <v>230000</v>
      </c>
      <c r="G21" s="11">
        <v>220000</v>
      </c>
    </row>
    <row r="22" spans="2:7" x14ac:dyDescent="0.25">
      <c r="B22" s="1"/>
      <c r="C22" s="1"/>
      <c r="D22" s="1"/>
      <c r="E22" s="1"/>
      <c r="F22" s="1"/>
      <c r="G22" s="1"/>
    </row>
    <row r="23" spans="2:7" ht="21.75" thickBot="1" x14ac:dyDescent="0.3">
      <c r="B23" s="12" t="s">
        <v>23</v>
      </c>
      <c r="C23" s="3" t="s">
        <v>14</v>
      </c>
      <c r="D23" s="3" t="s">
        <v>15</v>
      </c>
      <c r="E23" s="3" t="s">
        <v>16</v>
      </c>
      <c r="F23" s="3" t="s">
        <v>17</v>
      </c>
      <c r="G23" s="3" t="s">
        <v>69</v>
      </c>
    </row>
    <row r="24" spans="2:7" ht="18" x14ac:dyDescent="0.25">
      <c r="B24" s="4" t="s">
        <v>0</v>
      </c>
      <c r="C24" s="5">
        <f>(C2*1000000)/C21</f>
        <v>27963000</v>
      </c>
      <c r="D24" s="5">
        <f t="shared" ref="D24:E24" si="7">(D2*1000000)/D21</f>
        <v>30928063.157894738</v>
      </c>
      <c r="E24" s="5">
        <f t="shared" si="7"/>
        <v>28107889.795918368</v>
      </c>
      <c r="F24" s="5">
        <f>(F2*1000000)/F21</f>
        <v>31293213.043478262</v>
      </c>
      <c r="G24" s="5">
        <f>(G2*1000000)/G21</f>
        <v>42214754.545454547</v>
      </c>
    </row>
    <row r="25" spans="2:7" ht="18" x14ac:dyDescent="0.25">
      <c r="B25" s="6" t="s">
        <v>2</v>
      </c>
      <c r="C25" s="7">
        <f>C4*1000000/C21</f>
        <v>20768462.068965517</v>
      </c>
      <c r="D25" s="7">
        <f t="shared" ref="D25:F25" si="8">D4*1000000/D21</f>
        <v>23921994.736842107</v>
      </c>
      <c r="E25" s="7">
        <f t="shared" si="8"/>
        <v>18999534.693877552</v>
      </c>
      <c r="F25" s="7">
        <f t="shared" si="8"/>
        <v>18259934.782608695</v>
      </c>
      <c r="G25" s="7">
        <f t="shared" ref="G25" si="9">G4*1000000/G21</f>
        <v>30496231.818181816</v>
      </c>
    </row>
    <row r="26" spans="2:7" ht="18" x14ac:dyDescent="0.25">
      <c r="B26" s="6" t="s">
        <v>5</v>
      </c>
      <c r="C26" s="7">
        <f>C7*1000000/C21</f>
        <v>18833537.931034483</v>
      </c>
      <c r="D26" s="7">
        <f t="shared" ref="D26:F26" si="10">D7*1000000/D21</f>
        <v>21752268.421052631</v>
      </c>
      <c r="E26" s="7">
        <f t="shared" si="10"/>
        <v>16546281.632653061</v>
      </c>
      <c r="F26" s="7">
        <f t="shared" si="10"/>
        <v>17281373.913043477</v>
      </c>
      <c r="G26" s="7">
        <f t="shared" ref="G26" si="11">G7*1000000/G21</f>
        <v>26674050</v>
      </c>
    </row>
    <row r="27" spans="2:7" ht="18" x14ac:dyDescent="0.25">
      <c r="B27" s="6" t="s">
        <v>10</v>
      </c>
      <c r="C27" s="7">
        <f>C12*1000000/C21</f>
        <v>18852075.862068966</v>
      </c>
      <c r="D27" s="7">
        <f t="shared" ref="D27:F27" si="12">D12*1000000/D21</f>
        <v>18589810.52631579</v>
      </c>
      <c r="E27" s="7">
        <f>E12*1000000/E21</f>
        <v>12360934.693877552</v>
      </c>
      <c r="F27" s="7">
        <f t="shared" si="12"/>
        <v>13646295.652173912</v>
      </c>
      <c r="G27" s="7">
        <f t="shared" ref="G27" si="13">G12*1000000/G21</f>
        <v>23878800</v>
      </c>
    </row>
    <row r="28" spans="2:7" x14ac:dyDescent="0.25">
      <c r="G28" s="1"/>
    </row>
    <row r="29" spans="2:7" ht="19.5" thickBot="1" x14ac:dyDescent="0.3">
      <c r="B29" s="13" t="s">
        <v>26</v>
      </c>
      <c r="C29" s="3" t="s">
        <v>14</v>
      </c>
      <c r="D29" s="3" t="s">
        <v>15</v>
      </c>
      <c r="E29" s="3" t="s">
        <v>16</v>
      </c>
      <c r="F29" s="3" t="s">
        <v>17</v>
      </c>
      <c r="G29" s="3" t="s">
        <v>69</v>
      </c>
    </row>
    <row r="30" spans="2:7" ht="18" x14ac:dyDescent="0.25">
      <c r="B30" s="15" t="s">
        <v>24</v>
      </c>
      <c r="C30" s="5">
        <v>154732</v>
      </c>
      <c r="D30" s="5">
        <v>174191</v>
      </c>
      <c r="E30" s="5">
        <v>155865</v>
      </c>
      <c r="F30" s="5">
        <v>156330</v>
      </c>
      <c r="G30" s="5">
        <v>177378</v>
      </c>
    </row>
    <row r="31" spans="2:7" ht="18" x14ac:dyDescent="0.25">
      <c r="B31" s="15" t="s">
        <v>25</v>
      </c>
      <c r="C31" s="5">
        <v>2052</v>
      </c>
      <c r="D31" s="5">
        <v>1688</v>
      </c>
      <c r="E31" s="5">
        <v>434</v>
      </c>
      <c r="F31" s="5">
        <v>41</v>
      </c>
      <c r="G31" s="5">
        <v>1932</v>
      </c>
    </row>
    <row r="32" spans="2:7" ht="19.5" x14ac:dyDescent="0.25">
      <c r="B32" s="14" t="s">
        <v>29</v>
      </c>
      <c r="C32" s="16">
        <v>156784</v>
      </c>
      <c r="D32" s="16">
        <v>175879</v>
      </c>
      <c r="E32" s="16">
        <v>156299</v>
      </c>
      <c r="F32" s="16">
        <v>156371</v>
      </c>
      <c r="G32" s="16">
        <f>SUM(G30:G31)</f>
        <v>179310</v>
      </c>
    </row>
    <row r="33" spans="2:7" x14ac:dyDescent="0.25">
      <c r="B33" s="1"/>
      <c r="C33" s="1"/>
      <c r="D33" s="1"/>
      <c r="E33" s="1"/>
      <c r="F33" s="1"/>
      <c r="G33" s="1"/>
    </row>
    <row r="34" spans="2:7" ht="19.5" thickBot="1" x14ac:dyDescent="0.3">
      <c r="B34" s="13" t="s">
        <v>27</v>
      </c>
      <c r="C34" s="3" t="s">
        <v>14</v>
      </c>
      <c r="D34" s="3" t="s">
        <v>15</v>
      </c>
      <c r="E34" s="3" t="s">
        <v>16</v>
      </c>
      <c r="F34" s="3" t="s">
        <v>17</v>
      </c>
      <c r="G34" s="3" t="s">
        <v>69</v>
      </c>
    </row>
    <row r="35" spans="2:7" ht="18" x14ac:dyDescent="0.25">
      <c r="B35" s="15" t="s">
        <v>24</v>
      </c>
      <c r="C35" s="5">
        <v>4027745</v>
      </c>
      <c r="D35" s="5">
        <v>5845594</v>
      </c>
      <c r="E35" s="5">
        <v>6875092</v>
      </c>
      <c r="F35" s="5">
        <v>7196679</v>
      </c>
      <c r="G35" s="5">
        <v>9198854</v>
      </c>
    </row>
    <row r="36" spans="2:7" ht="18" x14ac:dyDescent="0.25">
      <c r="B36" s="15" t="s">
        <v>25</v>
      </c>
      <c r="C36" s="5">
        <v>26890</v>
      </c>
      <c r="D36" s="5">
        <v>30738</v>
      </c>
      <c r="E36" s="5">
        <v>11341</v>
      </c>
      <c r="F36" s="5">
        <v>760</v>
      </c>
      <c r="G36" s="5">
        <v>88392</v>
      </c>
    </row>
    <row r="37" spans="2:7" ht="19.5" x14ac:dyDescent="0.25">
      <c r="B37" s="14" t="s">
        <v>30</v>
      </c>
      <c r="C37" s="16">
        <v>4054635</v>
      </c>
      <c r="D37" s="16">
        <v>5876332</v>
      </c>
      <c r="E37" s="16">
        <v>6886433</v>
      </c>
      <c r="F37" s="16">
        <v>7197439</v>
      </c>
      <c r="G37" s="16">
        <f>SUM(G35:G36)</f>
        <v>9287246</v>
      </c>
    </row>
    <row r="38" spans="2:7" x14ac:dyDescent="0.25">
      <c r="B38" s="1"/>
      <c r="C38" s="1"/>
      <c r="D38" s="1"/>
      <c r="E38" s="1"/>
      <c r="F38" s="1"/>
      <c r="G38" s="1"/>
    </row>
    <row r="39" spans="2:7" ht="19.5" thickBot="1" x14ac:dyDescent="0.3">
      <c r="B39" s="13" t="s">
        <v>28</v>
      </c>
      <c r="C39" s="3" t="s">
        <v>14</v>
      </c>
      <c r="D39" s="3" t="s">
        <v>15</v>
      </c>
      <c r="E39" s="3" t="s">
        <v>16</v>
      </c>
      <c r="F39" s="3" t="s">
        <v>17</v>
      </c>
      <c r="G39" s="3" t="s">
        <v>69</v>
      </c>
    </row>
    <row r="40" spans="2:7" ht="18" x14ac:dyDescent="0.25">
      <c r="B40" s="15" t="s">
        <v>24</v>
      </c>
      <c r="C40" s="5">
        <v>26030459</v>
      </c>
      <c r="D40" s="5">
        <v>33558531</v>
      </c>
      <c r="E40" s="5">
        <v>44109274</v>
      </c>
      <c r="F40" s="5">
        <v>46035176</v>
      </c>
      <c r="G40" s="5">
        <f>G35*1000000/G30</f>
        <v>51860174.316995345</v>
      </c>
    </row>
    <row r="41" spans="2:7" ht="18" x14ac:dyDescent="0.25">
      <c r="B41" s="15" t="s">
        <v>25</v>
      </c>
      <c r="C41" s="5">
        <v>13104289</v>
      </c>
      <c r="D41" s="5">
        <v>18209716</v>
      </c>
      <c r="E41" s="5">
        <v>26131336</v>
      </c>
      <c r="F41" s="5">
        <v>18536585</v>
      </c>
      <c r="G41" s="5">
        <f>G36*1000000/G31</f>
        <v>45751552.795031056</v>
      </c>
    </row>
    <row r="42" spans="2:7" ht="19.5" x14ac:dyDescent="0.25">
      <c r="B42" s="14" t="s">
        <v>31</v>
      </c>
      <c r="C42" s="16">
        <f>((C35/C37)*(C40))+((C36/C37)*(C41))</f>
        <v>25944733.722311623</v>
      </c>
      <c r="D42" s="16">
        <f t="shared" ref="D42:G42" si="14">((D35/D37)*(D40))+((D36/D37)*(D41))</f>
        <v>33478244.202815976</v>
      </c>
      <c r="E42" s="16">
        <f t="shared" si="14"/>
        <v>44079666.829661168</v>
      </c>
      <c r="F42" s="16">
        <f t="shared" si="14"/>
        <v>46032272.338133611</v>
      </c>
      <c r="G42" s="16">
        <f t="shared" si="14"/>
        <v>51802035.09320721</v>
      </c>
    </row>
    <row r="43" spans="2:7" x14ac:dyDescent="0.25">
      <c r="G43" s="1"/>
    </row>
    <row r="44" spans="2:7" ht="19.5" thickBot="1" x14ac:dyDescent="0.3">
      <c r="B44" s="13" t="s">
        <v>28</v>
      </c>
      <c r="C44" s="3" t="s">
        <v>14</v>
      </c>
      <c r="D44" s="3" t="s">
        <v>15</v>
      </c>
      <c r="E44" s="3" t="s">
        <v>16</v>
      </c>
      <c r="F44" s="3" t="s">
        <v>17</v>
      </c>
      <c r="G44" s="3" t="s">
        <v>69</v>
      </c>
    </row>
    <row r="45" spans="2:7" ht="18" x14ac:dyDescent="0.25">
      <c r="B45" s="15" t="s">
        <v>24</v>
      </c>
      <c r="C45" s="5">
        <f>C40/C21</f>
        <v>179.52040689655172</v>
      </c>
      <c r="D45" s="5">
        <f t="shared" ref="D45:F45" si="15">D40/D21</f>
        <v>176.62384736842105</v>
      </c>
      <c r="E45" s="5">
        <f t="shared" si="15"/>
        <v>180.0378530612245</v>
      </c>
      <c r="F45" s="5">
        <f t="shared" si="15"/>
        <v>200.15293913043479</v>
      </c>
      <c r="G45" s="5">
        <f t="shared" ref="G45" si="16">G40/G21</f>
        <v>235.72806507725156</v>
      </c>
    </row>
    <row r="46" spans="2:7" ht="18" x14ac:dyDescent="0.25">
      <c r="B46" s="15" t="s">
        <v>25</v>
      </c>
      <c r="C46" s="5">
        <f>C41/C21</f>
        <v>90.374406896551719</v>
      </c>
      <c r="D46" s="5">
        <f t="shared" ref="D46:F46" si="17">D41/D21</f>
        <v>95.840610526315785</v>
      </c>
      <c r="E46" s="5">
        <f t="shared" si="17"/>
        <v>106.65851428571429</v>
      </c>
      <c r="F46" s="5">
        <f t="shared" si="17"/>
        <v>80.593847826086957</v>
      </c>
      <c r="G46" s="5">
        <f t="shared" ref="G46" si="18">G41/G21</f>
        <v>207.96160361377753</v>
      </c>
    </row>
    <row r="47" spans="2:7" ht="19.5" x14ac:dyDescent="0.25">
      <c r="B47" s="14" t="s">
        <v>31</v>
      </c>
      <c r="C47" s="16">
        <f>C42/C21</f>
        <v>178.92919808490774</v>
      </c>
      <c r="D47" s="16">
        <f t="shared" ref="D47:G47" si="19">D42/D21</f>
        <v>176.20128527797883</v>
      </c>
      <c r="E47" s="16">
        <f t="shared" si="19"/>
        <v>179.91700746800475</v>
      </c>
      <c r="F47" s="16">
        <f t="shared" si="19"/>
        <v>200.14031451362439</v>
      </c>
      <c r="G47" s="16">
        <f t="shared" si="19"/>
        <v>235.4637958782146</v>
      </c>
    </row>
    <row r="48" spans="2:7" x14ac:dyDescent="0.25">
      <c r="G48" s="1"/>
    </row>
    <row r="49" spans="2:7" ht="19.5" thickBot="1" x14ac:dyDescent="0.3">
      <c r="B49" s="13" t="s">
        <v>43</v>
      </c>
      <c r="C49" s="3" t="s">
        <v>14</v>
      </c>
      <c r="D49" s="3" t="s">
        <v>15</v>
      </c>
      <c r="E49" s="3" t="s">
        <v>16</v>
      </c>
      <c r="F49" s="3" t="s">
        <v>17</v>
      </c>
      <c r="G49" s="3" t="s">
        <v>69</v>
      </c>
    </row>
    <row r="50" spans="2:7" ht="18" x14ac:dyDescent="0.25">
      <c r="B50" s="15" t="s">
        <v>32</v>
      </c>
      <c r="C50" s="5">
        <v>555210</v>
      </c>
      <c r="D50" s="5">
        <v>610395</v>
      </c>
      <c r="E50" s="5">
        <v>1795965</v>
      </c>
      <c r="F50" s="5">
        <v>1777922</v>
      </c>
      <c r="G50" s="5">
        <v>1568152</v>
      </c>
    </row>
    <row r="51" spans="2:7" ht="18" x14ac:dyDescent="0.25">
      <c r="B51" s="15" t="s">
        <v>33</v>
      </c>
      <c r="C51" s="5">
        <v>60592</v>
      </c>
      <c r="D51" s="5">
        <v>48790</v>
      </c>
      <c r="E51" s="5">
        <v>65361</v>
      </c>
      <c r="F51" s="5">
        <v>60847</v>
      </c>
      <c r="G51" s="5">
        <v>101080</v>
      </c>
    </row>
    <row r="52" spans="2:7" ht="18" x14ac:dyDescent="0.25">
      <c r="B52" s="15" t="s">
        <v>34</v>
      </c>
      <c r="C52" s="5">
        <v>588728</v>
      </c>
      <c r="D52" s="5">
        <v>795874</v>
      </c>
      <c r="E52" s="5">
        <v>780511</v>
      </c>
      <c r="F52" s="5">
        <v>1032181</v>
      </c>
      <c r="G52" s="5">
        <v>1268286</v>
      </c>
    </row>
    <row r="53" spans="2:7" ht="18" x14ac:dyDescent="0.25">
      <c r="B53" s="17" t="s">
        <v>35</v>
      </c>
      <c r="C53" s="7">
        <v>1204530</v>
      </c>
      <c r="D53" s="7">
        <v>1455059</v>
      </c>
      <c r="E53" s="7">
        <v>2641837</v>
      </c>
      <c r="F53" s="7">
        <v>2870950</v>
      </c>
      <c r="G53" s="7">
        <f>SUM(G50:G52)</f>
        <v>2937518</v>
      </c>
    </row>
    <row r="54" spans="2:7" ht="18" x14ac:dyDescent="0.25">
      <c r="B54" s="15" t="s">
        <v>36</v>
      </c>
      <c r="C54" s="5">
        <v>0</v>
      </c>
      <c r="D54" s="5">
        <v>0</v>
      </c>
      <c r="E54" s="5">
        <v>0</v>
      </c>
      <c r="F54" s="5">
        <v>-3002</v>
      </c>
      <c r="G54" s="5">
        <v>-3002</v>
      </c>
    </row>
    <row r="55" spans="2:7" ht="19.5" x14ac:dyDescent="0.25">
      <c r="B55" s="14" t="s">
        <v>37</v>
      </c>
      <c r="C55" s="16">
        <v>1204530</v>
      </c>
      <c r="D55" s="16">
        <v>1455059</v>
      </c>
      <c r="E55" s="16">
        <v>2641837</v>
      </c>
      <c r="F55" s="16">
        <v>2867948</v>
      </c>
      <c r="G55" s="16">
        <f>G53+G54</f>
        <v>2934516</v>
      </c>
    </row>
    <row r="56" spans="2:7" x14ac:dyDescent="0.25">
      <c r="G56" s="1"/>
    </row>
    <row r="57" spans="2:7" ht="19.5" thickBot="1" x14ac:dyDescent="0.3">
      <c r="B57" s="13" t="s">
        <v>44</v>
      </c>
      <c r="C57" s="3" t="s">
        <v>14</v>
      </c>
      <c r="D57" s="3" t="s">
        <v>15</v>
      </c>
      <c r="E57" s="3" t="s">
        <v>16</v>
      </c>
      <c r="F57" s="3" t="s">
        <v>17</v>
      </c>
      <c r="G57" s="3" t="s">
        <v>69</v>
      </c>
    </row>
    <row r="58" spans="2:7" ht="18" x14ac:dyDescent="0.25">
      <c r="B58" s="15" t="s">
        <v>38</v>
      </c>
      <c r="C58" s="5">
        <v>63060</v>
      </c>
      <c r="D58" s="5">
        <v>67239</v>
      </c>
      <c r="E58" s="5">
        <v>90402</v>
      </c>
      <c r="F58" s="5">
        <v>108596</v>
      </c>
      <c r="G58" s="5">
        <v>123735</v>
      </c>
    </row>
    <row r="59" spans="2:7" ht="18" x14ac:dyDescent="0.25">
      <c r="B59" s="15" t="s">
        <v>39</v>
      </c>
      <c r="C59" s="5">
        <v>91925</v>
      </c>
      <c r="D59" s="5">
        <v>246664</v>
      </c>
      <c r="E59" s="5">
        <v>167522</v>
      </c>
      <c r="F59" s="5">
        <v>157447</v>
      </c>
      <c r="G59" s="5">
        <v>422353</v>
      </c>
    </row>
    <row r="60" spans="2:7" ht="18" x14ac:dyDescent="0.25">
      <c r="B60" s="15" t="s">
        <v>40</v>
      </c>
      <c r="C60" s="5">
        <v>97789</v>
      </c>
      <c r="D60" s="5">
        <v>97523</v>
      </c>
      <c r="E60" s="5">
        <v>101292</v>
      </c>
      <c r="F60" s="5">
        <v>103014</v>
      </c>
      <c r="G60" s="5">
        <v>104885</v>
      </c>
    </row>
    <row r="61" spans="2:7" ht="18" x14ac:dyDescent="0.25">
      <c r="B61" s="15" t="s">
        <v>41</v>
      </c>
      <c r="C61" s="5">
        <v>214156</v>
      </c>
      <c r="D61" s="5">
        <v>177181</v>
      </c>
      <c r="E61" s="5">
        <v>218398</v>
      </c>
      <c r="F61" s="5">
        <v>266739</v>
      </c>
      <c r="G61" s="5">
        <v>365191</v>
      </c>
    </row>
    <row r="62" spans="2:7" ht="18" x14ac:dyDescent="0.25">
      <c r="B62" s="15" t="s">
        <v>42</v>
      </c>
      <c r="C62" s="5">
        <v>121798</v>
      </c>
      <c r="D62" s="5">
        <v>207267</v>
      </c>
      <c r="E62" s="5">
        <v>202897</v>
      </c>
      <c r="F62" s="5">
        <v>396385</v>
      </c>
      <c r="G62" s="5">
        <v>252122</v>
      </c>
    </row>
    <row r="63" spans="2:7" ht="19.5" x14ac:dyDescent="0.25">
      <c r="B63" s="14" t="s">
        <v>45</v>
      </c>
      <c r="C63" s="16">
        <v>588728</v>
      </c>
      <c r="D63" s="16">
        <v>795874</v>
      </c>
      <c r="E63" s="16">
        <v>780511</v>
      </c>
      <c r="F63" s="16">
        <v>1032181</v>
      </c>
      <c r="G63" s="16">
        <f>SUM(G58:G62)</f>
        <v>1268286</v>
      </c>
    </row>
    <row r="64" spans="2:7" x14ac:dyDescent="0.25">
      <c r="G64" s="1"/>
    </row>
    <row r="65" spans="2:7" ht="21.75" thickBot="1" x14ac:dyDescent="0.3">
      <c r="B65" s="18" t="s">
        <v>46</v>
      </c>
      <c r="C65" s="3" t="s">
        <v>14</v>
      </c>
      <c r="D65" s="3" t="s">
        <v>15</v>
      </c>
      <c r="E65" s="3" t="s">
        <v>16</v>
      </c>
      <c r="F65" s="3" t="s">
        <v>17</v>
      </c>
      <c r="G65" s="3" t="s">
        <v>69</v>
      </c>
    </row>
    <row r="66" spans="2:7" ht="18" x14ac:dyDescent="0.25">
      <c r="B66" s="15" t="s">
        <v>47</v>
      </c>
      <c r="C66" s="5">
        <f>-(C3*1000000)/C32</f>
        <v>6653791.2031839984</v>
      </c>
      <c r="D66" s="5">
        <f t="shared" ref="D66:F66" si="20">-(D3*1000000)/D32</f>
        <v>7568572.7119212644</v>
      </c>
      <c r="E66" s="5">
        <f t="shared" si="20"/>
        <v>14277423.400021752</v>
      </c>
      <c r="F66" s="5">
        <f t="shared" si="20"/>
        <v>19170140.243395515</v>
      </c>
      <c r="G66" s="5">
        <f t="shared" ref="G66" si="21">-(G3*1000000)/G32</f>
        <v>14377753.611064637</v>
      </c>
    </row>
    <row r="67" spans="2:7" ht="18" x14ac:dyDescent="0.25">
      <c r="B67" s="15" t="s">
        <v>48</v>
      </c>
      <c r="C67" s="5">
        <f>C55*1000000/C32</f>
        <v>7682735.4832125725</v>
      </c>
      <c r="D67" s="5">
        <f t="shared" ref="D67:F67" si="22">D55*1000000/D32</f>
        <v>8273068.4163544253</v>
      </c>
      <c r="E67" s="5">
        <f t="shared" si="22"/>
        <v>16902456.189738899</v>
      </c>
      <c r="F67" s="5">
        <f t="shared" si="22"/>
        <v>18340664.189651534</v>
      </c>
      <c r="G67" s="5">
        <f t="shared" ref="G67" si="23">G55*1000000/G32</f>
        <v>16365601.472310524</v>
      </c>
    </row>
    <row r="68" spans="2:7" ht="18" x14ac:dyDescent="0.25">
      <c r="B68" s="15" t="s">
        <v>49</v>
      </c>
      <c r="C68" s="5">
        <f>SUM(C69:C73)</f>
        <v>3755026.0230635777</v>
      </c>
      <c r="D68" s="5">
        <f t="shared" ref="D68:G68" si="24">SUM(D69:D73)</f>
        <v>4525122.3852762412</v>
      </c>
      <c r="E68" s="5">
        <f t="shared" si="24"/>
        <v>4993704.3743082173</v>
      </c>
      <c r="F68" s="5">
        <f t="shared" si="24"/>
        <v>6600846.7043121811</v>
      </c>
      <c r="G68" s="5">
        <f t="shared" si="24"/>
        <v>7073147.0637443531</v>
      </c>
    </row>
    <row r="69" spans="2:7" ht="18" x14ac:dyDescent="0.25">
      <c r="B69" s="15" t="s">
        <v>50</v>
      </c>
      <c r="C69" s="5">
        <f>C58*1000000/C32</f>
        <v>402209.40912337991</v>
      </c>
      <c r="D69" s="5">
        <f t="shared" ref="D69:F69" si="25">D58*1000000/D32</f>
        <v>382302.60576873872</v>
      </c>
      <c r="E69" s="5">
        <f t="shared" si="25"/>
        <v>578391.41645180073</v>
      </c>
      <c r="F69" s="5">
        <f t="shared" si="25"/>
        <v>694476.59732303303</v>
      </c>
      <c r="G69" s="5">
        <f t="shared" ref="G69" si="26">G58*1000000/G32</f>
        <v>690061.90396519995</v>
      </c>
    </row>
    <row r="70" spans="2:7" ht="18" x14ac:dyDescent="0.25">
      <c r="B70" s="15" t="s">
        <v>51</v>
      </c>
      <c r="C70" s="5">
        <f>C59*1000000/C32</f>
        <v>586316.20573527913</v>
      </c>
      <c r="D70" s="5">
        <f t="shared" ref="D70:F70" si="27">D59*1000000/D32</f>
        <v>1402464.1941334668</v>
      </c>
      <c r="E70" s="5">
        <f t="shared" si="27"/>
        <v>1071804.6820517087</v>
      </c>
      <c r="F70" s="5">
        <f t="shared" si="27"/>
        <v>1006881.0712983866</v>
      </c>
      <c r="G70" s="5">
        <f t="shared" ref="G70" si="28">G59*1000000/G32</f>
        <v>2355434.72198985</v>
      </c>
    </row>
    <row r="71" spans="2:7" ht="18" x14ac:dyDescent="0.25">
      <c r="B71" s="15" t="s">
        <v>52</v>
      </c>
      <c r="C71" s="5">
        <f>C60*1000000/C32</f>
        <v>623717.98142667615</v>
      </c>
      <c r="D71" s="5">
        <f t="shared" ref="D71:F71" si="29">D60*1000000/D32</f>
        <v>554489.16584697436</v>
      </c>
      <c r="E71" s="5">
        <f t="shared" si="29"/>
        <v>648065.56663830217</v>
      </c>
      <c r="F71" s="5">
        <f t="shared" si="29"/>
        <v>658779.44120073412</v>
      </c>
      <c r="G71" s="5">
        <f t="shared" ref="G71" si="30">G60*1000000/G32</f>
        <v>584936.70180134964</v>
      </c>
    </row>
    <row r="72" spans="2:7" ht="18" x14ac:dyDescent="0.25">
      <c r="B72" s="15" t="s">
        <v>53</v>
      </c>
      <c r="C72" s="5">
        <f>C61*1000000/C32</f>
        <v>1365930.1969588734</v>
      </c>
      <c r="D72" s="5">
        <f t="shared" ref="D72:F72" si="31">D61*1000000/D32</f>
        <v>1007402.8167092148</v>
      </c>
      <c r="E72" s="5">
        <f t="shared" si="31"/>
        <v>1397309.003896378</v>
      </c>
      <c r="F72" s="5">
        <f t="shared" si="31"/>
        <v>1705808.6218032755</v>
      </c>
      <c r="G72" s="5">
        <f t="shared" ref="G72" si="32">G61*1000000/G32</f>
        <v>2036646.0320116</v>
      </c>
    </row>
    <row r="73" spans="2:7" ht="18" x14ac:dyDescent="0.25">
      <c r="B73" s="15" t="s">
        <v>54</v>
      </c>
      <c r="C73" s="5">
        <f>C62*1000000/C32</f>
        <v>776852.22981936927</v>
      </c>
      <c r="D73" s="5">
        <f t="shared" ref="D73:F73" si="33">D62*1000000/D32</f>
        <v>1178463.6028178465</v>
      </c>
      <c r="E73" s="5">
        <f t="shared" si="33"/>
        <v>1298133.7052700273</v>
      </c>
      <c r="F73" s="5">
        <f t="shared" si="33"/>
        <v>2534900.9726867513</v>
      </c>
      <c r="G73" s="5">
        <f t="shared" ref="G73" si="34">G62*1000000/G32</f>
        <v>1406067.7039763539</v>
      </c>
    </row>
    <row r="74" spans="2:7" x14ac:dyDescent="0.25">
      <c r="B74" s="19"/>
      <c r="C74" s="1"/>
      <c r="D74" s="1"/>
      <c r="E74" s="1"/>
      <c r="F74" s="1"/>
      <c r="G74" s="1"/>
    </row>
    <row r="75" spans="2:7" ht="21.75" thickBot="1" x14ac:dyDescent="0.3">
      <c r="B75" s="18" t="s">
        <v>55</v>
      </c>
      <c r="C75" s="3" t="s">
        <v>14</v>
      </c>
      <c r="D75" s="3" t="s">
        <v>15</v>
      </c>
      <c r="E75" s="3" t="s">
        <v>16</v>
      </c>
      <c r="F75" s="3" t="s">
        <v>17</v>
      </c>
      <c r="G75" s="3" t="s">
        <v>69</v>
      </c>
    </row>
    <row r="76" spans="2:7" ht="18" x14ac:dyDescent="0.25">
      <c r="B76" s="15" t="s">
        <v>47</v>
      </c>
      <c r="C76" s="5">
        <f>C66/C21</f>
        <v>45.8882151943724</v>
      </c>
      <c r="D76" s="5">
        <f t="shared" ref="D76:F76" si="35">D66/D21</f>
        <v>39.834593220638233</v>
      </c>
      <c r="E76" s="5">
        <f t="shared" si="35"/>
        <v>58.275197551109194</v>
      </c>
      <c r="F76" s="5">
        <f t="shared" si="35"/>
        <v>83.348435840850058</v>
      </c>
      <c r="G76" s="5">
        <f t="shared" ref="G76" si="36">G66/G21</f>
        <v>65.353425504839265</v>
      </c>
    </row>
    <row r="77" spans="2:7" ht="18" x14ac:dyDescent="0.25">
      <c r="B77" s="15" t="s">
        <v>48</v>
      </c>
      <c r="C77" s="5">
        <f>C67/C21</f>
        <v>52.984382642845326</v>
      </c>
      <c r="D77" s="5">
        <f t="shared" ref="D77:F77" si="37">D67/D21</f>
        <v>43.542465349233815</v>
      </c>
      <c r="E77" s="5">
        <f t="shared" si="37"/>
        <v>68.989617100975096</v>
      </c>
      <c r="F77" s="5">
        <f t="shared" si="37"/>
        <v>79.742018215876229</v>
      </c>
      <c r="G77" s="5">
        <f t="shared" ref="G77" si="38">G67/G21</f>
        <v>74.389097601411478</v>
      </c>
    </row>
    <row r="78" spans="2:7" ht="18" x14ac:dyDescent="0.25">
      <c r="B78" s="15" t="s">
        <v>49</v>
      </c>
      <c r="C78" s="5">
        <f>SUM(C79:C83)</f>
        <v>25.896731193541918</v>
      </c>
      <c r="D78" s="5">
        <f t="shared" ref="D78:G78" si="39">SUM(D79:D83)</f>
        <v>23.816433606717059</v>
      </c>
      <c r="E78" s="5">
        <f t="shared" si="39"/>
        <v>20.382466833911089</v>
      </c>
      <c r="F78" s="5">
        <f t="shared" si="39"/>
        <v>28.699333497009484</v>
      </c>
      <c r="G78" s="5">
        <f t="shared" si="39"/>
        <v>32.150668471565247</v>
      </c>
    </row>
    <row r="79" spans="2:7" ht="18" x14ac:dyDescent="0.25">
      <c r="B79" s="15" t="s">
        <v>50</v>
      </c>
      <c r="C79" s="5">
        <f>C69/C21</f>
        <v>2.7738579939543442</v>
      </c>
      <c r="D79" s="5">
        <f t="shared" ref="D79:F79" si="40">D69/D21</f>
        <v>2.012118977730204</v>
      </c>
      <c r="E79" s="5">
        <f t="shared" si="40"/>
        <v>2.3607812916400031</v>
      </c>
      <c r="F79" s="5">
        <f t="shared" si="40"/>
        <v>3.0194634666218829</v>
      </c>
      <c r="G79" s="5">
        <f t="shared" ref="G79" si="41">G69/G21</f>
        <v>3.136645018023636</v>
      </c>
    </row>
    <row r="80" spans="2:7" ht="18" x14ac:dyDescent="0.25">
      <c r="B80" s="15" t="s">
        <v>51</v>
      </c>
      <c r="C80" s="5">
        <f>C70/C21</f>
        <v>4.0435600395536495</v>
      </c>
      <c r="D80" s="5">
        <f t="shared" ref="D80:F80" si="42">D70/D21</f>
        <v>7.381390495439299</v>
      </c>
      <c r="E80" s="5">
        <f t="shared" si="42"/>
        <v>4.3747129879661575</v>
      </c>
      <c r="F80" s="5">
        <f t="shared" si="42"/>
        <v>4.3777437882538548</v>
      </c>
      <c r="G80" s="5">
        <f t="shared" ref="G80" si="43">G70/G21</f>
        <v>10.706521463590228</v>
      </c>
    </row>
    <row r="81" spans="2:7" ht="18" x14ac:dyDescent="0.25">
      <c r="B81" s="15" t="s">
        <v>52</v>
      </c>
      <c r="C81" s="5">
        <f>C71/C21</f>
        <v>4.3015033201839739</v>
      </c>
      <c r="D81" s="5">
        <f t="shared" ref="D81:F81" si="44">D71/D21</f>
        <v>2.9183640307735494</v>
      </c>
      <c r="E81" s="5">
        <f t="shared" si="44"/>
        <v>2.645165578115519</v>
      </c>
      <c r="F81" s="5">
        <f t="shared" si="44"/>
        <v>2.8642584400031916</v>
      </c>
      <c r="G81" s="5">
        <f t="shared" ref="G81" si="45">G71/G21</f>
        <v>2.6588031900061346</v>
      </c>
    </row>
    <row r="82" spans="2:7" ht="18" x14ac:dyDescent="0.25">
      <c r="B82" s="15" t="s">
        <v>53</v>
      </c>
      <c r="C82" s="5">
        <f>C72/C21</f>
        <v>9.4202082548887827</v>
      </c>
      <c r="D82" s="5">
        <f t="shared" ref="D82:F82" si="46">D72/D21</f>
        <v>5.3021200879432362</v>
      </c>
      <c r="E82" s="5">
        <f t="shared" si="46"/>
        <v>5.7033020567199104</v>
      </c>
      <c r="F82" s="5">
        <f t="shared" si="46"/>
        <v>7.4165592252316328</v>
      </c>
      <c r="G82" s="5">
        <f t="shared" ref="G82" si="47">G72/G21</f>
        <v>9.2574819636890915</v>
      </c>
    </row>
    <row r="83" spans="2:7" ht="18" x14ac:dyDescent="0.25">
      <c r="B83" s="15" t="s">
        <v>54</v>
      </c>
      <c r="C83" s="5">
        <f>C73/C21</f>
        <v>5.3576015849611673</v>
      </c>
      <c r="D83" s="5">
        <f t="shared" ref="D83:F83" si="48">D73/D21</f>
        <v>6.2024400148307706</v>
      </c>
      <c r="E83" s="5">
        <f t="shared" si="48"/>
        <v>5.2985049194694991</v>
      </c>
      <c r="F83" s="5">
        <f t="shared" si="48"/>
        <v>11.021308576898919</v>
      </c>
      <c r="G83" s="5">
        <f t="shared" ref="G83" si="49">G73/G21</f>
        <v>6.3912168362561541</v>
      </c>
    </row>
    <row r="84" spans="2:7" x14ac:dyDescent="0.25">
      <c r="B84" s="19"/>
      <c r="C84" s="1"/>
      <c r="D84" s="1"/>
      <c r="E84" s="1"/>
      <c r="F84" s="1"/>
      <c r="G84" s="1"/>
    </row>
    <row r="85" spans="2:7" ht="21.75" thickBot="1" x14ac:dyDescent="0.3">
      <c r="B85" s="20" t="s">
        <v>56</v>
      </c>
      <c r="C85" s="3" t="s">
        <v>14</v>
      </c>
      <c r="D85" s="3" t="s">
        <v>15</v>
      </c>
      <c r="E85" s="3" t="s">
        <v>16</v>
      </c>
      <c r="F85" s="3" t="s">
        <v>17</v>
      </c>
      <c r="G85" s="3" t="s">
        <v>69</v>
      </c>
    </row>
    <row r="86" spans="2:7" ht="18" x14ac:dyDescent="0.25">
      <c r="B86" s="15" t="s">
        <v>57</v>
      </c>
      <c r="C86" s="5">
        <f>C47</f>
        <v>178.92919808490774</v>
      </c>
      <c r="D86" s="5">
        <f t="shared" ref="D86:F86" si="50">D47</f>
        <v>176.20128527797883</v>
      </c>
      <c r="E86" s="5">
        <f t="shared" si="50"/>
        <v>179.91700746800475</v>
      </c>
      <c r="F86" s="5">
        <f t="shared" si="50"/>
        <v>200.14031451362439</v>
      </c>
      <c r="G86" s="5">
        <f t="shared" ref="G86" si="51">G47</f>
        <v>235.4637958782146</v>
      </c>
    </row>
    <row r="87" spans="2:7" ht="18" x14ac:dyDescent="0.25">
      <c r="B87" s="15" t="s">
        <v>58</v>
      </c>
      <c r="C87" s="5">
        <f>-C76</f>
        <v>-45.8882151943724</v>
      </c>
      <c r="D87" s="5">
        <f t="shared" ref="D87:E87" si="52">-D76</f>
        <v>-39.834593220638233</v>
      </c>
      <c r="E87" s="5">
        <f t="shared" si="52"/>
        <v>-58.275197551109194</v>
      </c>
      <c r="F87" s="5">
        <f>-F76</f>
        <v>-83.348435840850058</v>
      </c>
      <c r="G87" s="5">
        <f>-G76</f>
        <v>-65.353425504839265</v>
      </c>
    </row>
    <row r="88" spans="2:7" ht="18" x14ac:dyDescent="0.25">
      <c r="B88" s="15" t="s">
        <v>59</v>
      </c>
      <c r="C88" s="5">
        <f>C86+C87</f>
        <v>133.04098289053533</v>
      </c>
      <c r="D88" s="5">
        <f t="shared" ref="D88:F88" si="53">D86+D87</f>
        <v>136.3666920573406</v>
      </c>
      <c r="E88" s="5">
        <f t="shared" si="53"/>
        <v>121.64180991689557</v>
      </c>
      <c r="F88" s="5">
        <f t="shared" si="53"/>
        <v>116.79187867277433</v>
      </c>
      <c r="G88" s="5">
        <f t="shared" ref="G88" si="54">G86+G87</f>
        <v>170.11037037337533</v>
      </c>
    </row>
    <row r="89" spans="2:7" ht="19.5" x14ac:dyDescent="0.25">
      <c r="B89" s="14" t="s">
        <v>18</v>
      </c>
      <c r="C89" s="21">
        <f>C88/C86</f>
        <v>0.74353981527041246</v>
      </c>
      <c r="D89" s="21">
        <f t="shared" ref="D89:G89" si="55">D88/D86</f>
        <v>0.77392563761499045</v>
      </c>
      <c r="E89" s="21">
        <f t="shared" si="55"/>
        <v>0.67609956184118691</v>
      </c>
      <c r="F89" s="21">
        <f t="shared" si="55"/>
        <v>0.58354999069826996</v>
      </c>
      <c r="G89" s="21">
        <f t="shared" si="55"/>
        <v>0.72244809329991</v>
      </c>
    </row>
    <row r="90" spans="2:7" x14ac:dyDescent="0.25">
      <c r="G90" s="1"/>
    </row>
    <row r="91" spans="2:7" ht="21.75" thickBot="1" x14ac:dyDescent="0.3">
      <c r="B91" s="2" t="s">
        <v>60</v>
      </c>
      <c r="C91" s="3" t="s">
        <v>14</v>
      </c>
      <c r="D91" s="3" t="s">
        <v>15</v>
      </c>
      <c r="E91" s="3" t="s">
        <v>16</v>
      </c>
      <c r="F91" s="3" t="s">
        <v>17</v>
      </c>
      <c r="G91" s="3" t="s">
        <v>69</v>
      </c>
    </row>
    <row r="92" spans="2:7" ht="18" x14ac:dyDescent="0.25">
      <c r="B92" s="15" t="s">
        <v>61</v>
      </c>
      <c r="C92" s="5">
        <v>78938940</v>
      </c>
      <c r="D92" s="5">
        <v>76322845</v>
      </c>
      <c r="E92" s="5">
        <v>76836339</v>
      </c>
      <c r="F92" s="5">
        <v>61117463</v>
      </c>
      <c r="G92" s="5">
        <v>77646246</v>
      </c>
    </row>
    <row r="93" spans="2:7" ht="19.5" x14ac:dyDescent="0.25">
      <c r="B93" s="14" t="s">
        <v>62</v>
      </c>
      <c r="C93" s="16">
        <v>78938940</v>
      </c>
      <c r="D93" s="16">
        <v>76322845</v>
      </c>
      <c r="E93" s="16">
        <v>76836339</v>
      </c>
      <c r="F93" s="16">
        <v>61117463</v>
      </c>
      <c r="G93" s="16">
        <f>SUM(G92)</f>
        <v>77646246</v>
      </c>
    </row>
    <row r="94" spans="2:7" x14ac:dyDescent="0.25">
      <c r="G94" s="1"/>
    </row>
    <row r="95" spans="2:7" ht="21.75" thickBot="1" x14ac:dyDescent="0.3">
      <c r="B95" s="18" t="s">
        <v>63</v>
      </c>
      <c r="C95" s="3" t="s">
        <v>14</v>
      </c>
      <c r="D95" s="3" t="s">
        <v>15</v>
      </c>
      <c r="E95" s="3" t="s">
        <v>16</v>
      </c>
      <c r="F95" s="3" t="s">
        <v>17</v>
      </c>
      <c r="G95" s="3" t="s">
        <v>69</v>
      </c>
    </row>
    <row r="96" spans="2:7" ht="18" x14ac:dyDescent="0.25">
      <c r="B96" s="15" t="s">
        <v>24</v>
      </c>
      <c r="C96" s="5">
        <v>180124</v>
      </c>
      <c r="D96" s="5">
        <v>190291</v>
      </c>
      <c r="E96" s="5">
        <v>184313</v>
      </c>
      <c r="F96" s="5">
        <v>126417</v>
      </c>
      <c r="G96" s="5">
        <v>191104</v>
      </c>
    </row>
    <row r="97" spans="2:7" ht="18" x14ac:dyDescent="0.25">
      <c r="B97" s="15" t="s">
        <v>25</v>
      </c>
      <c r="C97" s="5">
        <v>106397</v>
      </c>
      <c r="D97" s="5">
        <v>108329</v>
      </c>
      <c r="E97" s="5">
        <v>105040</v>
      </c>
      <c r="F97" s="5">
        <v>73018</v>
      </c>
      <c r="G97" s="5">
        <v>110960</v>
      </c>
    </row>
    <row r="98" spans="2:7" ht="19.5" x14ac:dyDescent="0.25">
      <c r="B98" s="14" t="s">
        <v>64</v>
      </c>
      <c r="C98" s="16">
        <v>286521</v>
      </c>
      <c r="D98" s="16">
        <v>298620</v>
      </c>
      <c r="E98" s="16">
        <v>289353</v>
      </c>
      <c r="F98" s="16">
        <v>199435</v>
      </c>
      <c r="G98" s="16">
        <f>SUM(G96:G97)</f>
        <v>302064</v>
      </c>
    </row>
    <row r="99" spans="2:7" x14ac:dyDescent="0.25">
      <c r="G99" s="1"/>
    </row>
    <row r="100" spans="2:7" ht="21.75" thickBot="1" x14ac:dyDescent="0.3">
      <c r="B100" s="18" t="s">
        <v>65</v>
      </c>
      <c r="C100" s="3" t="s">
        <v>14</v>
      </c>
      <c r="D100" s="3" t="s">
        <v>15</v>
      </c>
      <c r="E100" s="3" t="s">
        <v>16</v>
      </c>
      <c r="F100" s="3" t="s">
        <v>17</v>
      </c>
      <c r="G100" s="3" t="s">
        <v>69</v>
      </c>
    </row>
    <row r="101" spans="2:7" ht="18" x14ac:dyDescent="0.25">
      <c r="B101" s="15" t="s">
        <v>66</v>
      </c>
      <c r="C101" s="5">
        <f>C92/C97</f>
        <v>741.92824985666891</v>
      </c>
      <c r="D101" s="5">
        <f t="shared" ref="D101:F101" si="56">D92/D97</f>
        <v>704.54675110081325</v>
      </c>
      <c r="E101" s="5">
        <f t="shared" si="56"/>
        <v>731.49599200304647</v>
      </c>
      <c r="F101" s="5">
        <f t="shared" si="56"/>
        <v>837.0191322687557</v>
      </c>
      <c r="G101" s="5">
        <f t="shared" ref="G101" si="57">G92/G97</f>
        <v>699.76789834174474</v>
      </c>
    </row>
    <row r="102" spans="2:7" ht="18" x14ac:dyDescent="0.25">
      <c r="B102" s="15" t="s">
        <v>67</v>
      </c>
      <c r="C102" s="5">
        <f>C92/C96</f>
        <v>438.24776265239501</v>
      </c>
      <c r="D102" s="5">
        <f t="shared" ref="D102:F102" si="58">D92/D96</f>
        <v>401.08489103530906</v>
      </c>
      <c r="E102" s="5">
        <f t="shared" si="58"/>
        <v>416.87965037734722</v>
      </c>
      <c r="F102" s="5">
        <f t="shared" si="58"/>
        <v>483.45921039100756</v>
      </c>
      <c r="G102" s="5">
        <f t="shared" ref="G102" si="59">G92/G96</f>
        <v>406.30361478566647</v>
      </c>
    </row>
    <row r="103" spans="2:7" ht="18" x14ac:dyDescent="0.25">
      <c r="B103" s="15" t="s">
        <v>68</v>
      </c>
      <c r="C103" s="22">
        <f>C97/C96</f>
        <v>0.59068752637072242</v>
      </c>
      <c r="D103" s="22">
        <f t="shared" ref="D103:F103" si="60">D97/D96</f>
        <v>0.56928073319284678</v>
      </c>
      <c r="E103" s="22">
        <f t="shared" si="60"/>
        <v>0.56990011556428466</v>
      </c>
      <c r="F103" s="22">
        <f t="shared" si="60"/>
        <v>0.5775963675771455</v>
      </c>
      <c r="G103" s="22">
        <f t="shared" ref="G103" si="61">G97/G96</f>
        <v>0.58062625586068317</v>
      </c>
    </row>
    <row r="104" spans="2:7" s="1" customFormat="1" ht="18" x14ac:dyDescent="0.25">
      <c r="D104" s="22"/>
      <c r="E104" s="22"/>
      <c r="F104" s="22"/>
      <c r="G104" s="22"/>
    </row>
    <row r="105" spans="2:7" ht="21.75" thickBot="1" x14ac:dyDescent="0.3">
      <c r="B105" s="18" t="s">
        <v>72</v>
      </c>
      <c r="C105" s="3" t="s">
        <v>14</v>
      </c>
      <c r="D105" s="3" t="s">
        <v>15</v>
      </c>
      <c r="E105" s="3" t="s">
        <v>16</v>
      </c>
      <c r="F105" s="3" t="s">
        <v>17</v>
      </c>
      <c r="G105" s="3" t="s">
        <v>69</v>
      </c>
    </row>
    <row r="106" spans="2:7" ht="18" x14ac:dyDescent="0.25">
      <c r="B106" s="15" t="s">
        <v>71</v>
      </c>
      <c r="C106" s="5">
        <v>7033</v>
      </c>
      <c r="D106" s="5">
        <v>7998</v>
      </c>
      <c r="E106" s="5">
        <v>23374</v>
      </c>
      <c r="F106" s="5">
        <v>29090</v>
      </c>
      <c r="G106" s="5">
        <v>20196</v>
      </c>
    </row>
    <row r="126" spans="2:7" x14ac:dyDescent="0.25">
      <c r="B126" s="23" t="s">
        <v>70</v>
      </c>
      <c r="C126" s="24">
        <v>48829</v>
      </c>
      <c r="D126" s="24">
        <v>84466</v>
      </c>
      <c r="E126" s="24">
        <v>88315</v>
      </c>
      <c r="F126" s="24">
        <v>94784</v>
      </c>
      <c r="G126" s="24">
        <v>101804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rightToLeft="1" topLeftCell="A4" workbookViewId="0">
      <selection activeCell="H11" sqref="H11"/>
    </sheetView>
  </sheetViews>
  <sheetFormatPr defaultRowHeight="15" x14ac:dyDescent="0.25"/>
  <cols>
    <col min="1" max="1" width="9.140625" style="50"/>
    <col min="2" max="2" width="24.7109375" style="50" bestFit="1" customWidth="1"/>
    <col min="3" max="3" width="14.5703125" style="50" customWidth="1"/>
    <col min="4" max="4" width="15.140625" style="50" customWidth="1"/>
    <col min="5" max="5" width="13.85546875" style="50" customWidth="1"/>
    <col min="6" max="6" width="9.140625" style="50"/>
    <col min="7" max="7" width="11" style="50" bestFit="1" customWidth="1"/>
    <col min="8" max="8" width="11.140625" style="50" bestFit="1" customWidth="1"/>
    <col min="9" max="16384" width="9.140625" style="50"/>
  </cols>
  <sheetData>
    <row r="1" spans="2:8" ht="21.75" thickBot="1" x14ac:dyDescent="0.3">
      <c r="B1" s="18" t="s">
        <v>102</v>
      </c>
      <c r="C1" s="49" t="s">
        <v>103</v>
      </c>
      <c r="D1" s="35" t="s">
        <v>104</v>
      </c>
      <c r="E1" s="35" t="s">
        <v>176</v>
      </c>
    </row>
    <row r="2" spans="2:8" ht="18" x14ac:dyDescent="0.25">
      <c r="B2" s="15" t="s">
        <v>24</v>
      </c>
      <c r="C2" s="5">
        <f>'مفروضات '!C10</f>
        <v>351000</v>
      </c>
      <c r="D2" s="5">
        <f>'مفروضات '!D10</f>
        <v>660000</v>
      </c>
      <c r="E2" s="5">
        <f>'مفروضات '!E10</f>
        <v>1122000</v>
      </c>
    </row>
    <row r="3" spans="2:8" ht="18" x14ac:dyDescent="0.25">
      <c r="B3" s="15" t="s">
        <v>25</v>
      </c>
      <c r="C3" s="5">
        <f>'مفروضات '!C11</f>
        <v>2000</v>
      </c>
      <c r="D3" s="5">
        <f>'مفروضات '!D11</f>
        <v>4000</v>
      </c>
      <c r="E3" s="5">
        <f>'مفروضات '!E11</f>
        <v>8000</v>
      </c>
    </row>
    <row r="4" spans="2:8" ht="19.5" x14ac:dyDescent="0.25">
      <c r="B4" s="14" t="s">
        <v>64</v>
      </c>
      <c r="C4" s="16">
        <f>SUM(C2:C3)</f>
        <v>353000</v>
      </c>
      <c r="D4" s="16">
        <f>SUM(D2:D3)</f>
        <v>664000</v>
      </c>
      <c r="E4" s="16">
        <f>SUM(E2:E3)</f>
        <v>1130000</v>
      </c>
    </row>
    <row r="5" spans="2:8" ht="18" x14ac:dyDescent="0.25">
      <c r="B5" s="27"/>
      <c r="C5" s="11"/>
      <c r="D5" s="11"/>
      <c r="E5" s="11"/>
    </row>
    <row r="6" spans="2:8" ht="21.75" thickBot="1" x14ac:dyDescent="0.3">
      <c r="B6" s="18" t="s">
        <v>26</v>
      </c>
      <c r="C6" s="49" t="s">
        <v>103</v>
      </c>
      <c r="D6" s="35" t="s">
        <v>104</v>
      </c>
      <c r="E6" s="35" t="s">
        <v>176</v>
      </c>
    </row>
    <row r="7" spans="2:8" ht="18" x14ac:dyDescent="0.25">
      <c r="B7" s="15" t="s">
        <v>77</v>
      </c>
      <c r="C7" s="5">
        <f>'مفروضات '!C13</f>
        <v>186030</v>
      </c>
      <c r="D7" s="5">
        <f>'مفروضات '!D13</f>
        <v>349800</v>
      </c>
      <c r="E7" s="5">
        <f>'مفروضات '!E13</f>
        <v>785400</v>
      </c>
    </row>
    <row r="8" spans="2:8" ht="18" x14ac:dyDescent="0.25">
      <c r="B8" s="15" t="s">
        <v>79</v>
      </c>
      <c r="C8" s="5">
        <f>'مفروضات '!C14</f>
        <v>164970</v>
      </c>
      <c r="D8" s="5">
        <f>'مفروضات '!D14</f>
        <v>310200</v>
      </c>
      <c r="E8" s="5">
        <f>'مفروضات '!E14</f>
        <v>336600</v>
      </c>
    </row>
    <row r="9" spans="2:8" ht="18" x14ac:dyDescent="0.25">
      <c r="B9" s="15" t="s">
        <v>78</v>
      </c>
      <c r="C9" s="5">
        <f>'مفروضات '!C15</f>
        <v>600</v>
      </c>
      <c r="D9" s="5">
        <f>'مفروضات '!D15</f>
        <v>1200</v>
      </c>
      <c r="E9" s="5">
        <f>'مفروضات '!E15</f>
        <v>2400</v>
      </c>
    </row>
    <row r="10" spans="2:8" ht="18" x14ac:dyDescent="0.25">
      <c r="B10" s="15" t="s">
        <v>80</v>
      </c>
      <c r="C10" s="5">
        <f>'مفروضات '!C16</f>
        <v>1400</v>
      </c>
      <c r="D10" s="5">
        <f>'مفروضات '!D16</f>
        <v>2800</v>
      </c>
      <c r="E10" s="5">
        <f>'مفروضات '!E16</f>
        <v>5600</v>
      </c>
    </row>
    <row r="11" spans="2:8" ht="19.5" x14ac:dyDescent="0.25">
      <c r="B11" s="14" t="s">
        <v>81</v>
      </c>
      <c r="C11" s="16">
        <f>SUM(C7:C10)</f>
        <v>353000</v>
      </c>
      <c r="D11" s="16">
        <f>SUM(D7:D10)</f>
        <v>664000</v>
      </c>
      <c r="E11" s="16">
        <f>SUM(E7:E10)</f>
        <v>1130000</v>
      </c>
    </row>
    <row r="12" spans="2:8" ht="18" x14ac:dyDescent="0.25">
      <c r="B12" s="27"/>
      <c r="C12" s="11"/>
      <c r="D12" s="11"/>
      <c r="E12" s="11"/>
    </row>
    <row r="13" spans="2:8" ht="21.75" thickBot="1" x14ac:dyDescent="0.3">
      <c r="B13" s="18" t="s">
        <v>27</v>
      </c>
      <c r="C13" s="49" t="s">
        <v>103</v>
      </c>
      <c r="D13" s="35" t="s">
        <v>104</v>
      </c>
      <c r="E13" s="35" t="s">
        <v>176</v>
      </c>
    </row>
    <row r="14" spans="2:8" ht="18" x14ac:dyDescent="0.25">
      <c r="B14" s="15" t="s">
        <v>77</v>
      </c>
      <c r="C14" s="5">
        <f t="shared" ref="C14:E17" si="0">C7*C21/1000000</f>
        <v>14287104</v>
      </c>
      <c r="D14" s="5">
        <f t="shared" si="0"/>
        <v>31733856</v>
      </c>
      <c r="E14" s="5">
        <f t="shared" si="0"/>
        <v>78037344</v>
      </c>
    </row>
    <row r="15" spans="2:8" ht="18" x14ac:dyDescent="0.25">
      <c r="B15" s="15" t="s">
        <v>79</v>
      </c>
      <c r="C15" s="5">
        <f t="shared" si="0"/>
        <v>9248878.0800000001</v>
      </c>
      <c r="D15" s="5">
        <f t="shared" si="0"/>
        <v>20543181.120000001</v>
      </c>
      <c r="E15" s="5">
        <f t="shared" si="0"/>
        <v>24414540.48</v>
      </c>
      <c r="H15" s="5"/>
    </row>
    <row r="16" spans="2:8" ht="18" x14ac:dyDescent="0.25">
      <c r="B16" s="15" t="s">
        <v>78</v>
      </c>
      <c r="C16" s="5">
        <f t="shared" si="0"/>
        <v>34560</v>
      </c>
      <c r="D16" s="5">
        <f t="shared" si="0"/>
        <v>81648</v>
      </c>
      <c r="E16" s="5">
        <f t="shared" si="0"/>
        <v>178848</v>
      </c>
    </row>
    <row r="17" spans="2:8" ht="18" x14ac:dyDescent="0.25">
      <c r="B17" s="15" t="s">
        <v>80</v>
      </c>
      <c r="C17" s="5">
        <f t="shared" si="0"/>
        <v>76339.199999999997</v>
      </c>
      <c r="D17" s="5">
        <f t="shared" si="0"/>
        <v>180351.35999999999</v>
      </c>
      <c r="E17" s="5">
        <f t="shared" si="0"/>
        <v>395055.35999999999</v>
      </c>
    </row>
    <row r="18" spans="2:8" ht="19.5" x14ac:dyDescent="0.25">
      <c r="B18" s="14" t="s">
        <v>30</v>
      </c>
      <c r="C18" s="16">
        <f>SUM(C14:C17)+((35000*C22)/(1000000))</f>
        <v>25609121.279999997</v>
      </c>
      <c r="D18" s="16">
        <f>SUM(D14:D17)</f>
        <v>52539036.480000004</v>
      </c>
      <c r="E18" s="16">
        <f>SUM(E14:E17)</f>
        <v>103025787.84</v>
      </c>
      <c r="G18" s="16">
        <f>C18*0.67</f>
        <v>17158111.257599998</v>
      </c>
      <c r="H18" s="16">
        <f>D18*0.67</f>
        <v>35201154.441600002</v>
      </c>
    </row>
    <row r="19" spans="2:8" ht="19.5" x14ac:dyDescent="0.25">
      <c r="B19" s="27"/>
      <c r="C19" s="11"/>
      <c r="D19" s="11"/>
      <c r="E19" s="11"/>
      <c r="G19" s="16">
        <f>G18/3529</f>
        <v>4862.0320933975627</v>
      </c>
      <c r="H19" s="16">
        <f>H18/3529</f>
        <v>9974.8241546047047</v>
      </c>
    </row>
    <row r="20" spans="2:8" ht="21.75" thickBot="1" x14ac:dyDescent="0.3">
      <c r="B20" s="18" t="s">
        <v>82</v>
      </c>
      <c r="C20" s="49" t="s">
        <v>103</v>
      </c>
      <c r="D20" s="35" t="s">
        <v>104</v>
      </c>
      <c r="E20" s="35" t="s">
        <v>176</v>
      </c>
      <c r="G20" s="16">
        <f>G19+'عملکرد فصلی'!G13</f>
        <v>6351.0320933975627</v>
      </c>
      <c r="H20" s="16">
        <f>H19</f>
        <v>9974.8241546047047</v>
      </c>
    </row>
    <row r="21" spans="2:8" ht="18" x14ac:dyDescent="0.25">
      <c r="B21" s="15" t="s">
        <v>77</v>
      </c>
      <c r="C21" s="5">
        <f>'مفروضات '!C5*'مفروضات '!C26</f>
        <v>76800000</v>
      </c>
      <c r="D21" s="5">
        <f>'مفروضات '!D5*'مفروضات '!D26</f>
        <v>90720000</v>
      </c>
      <c r="E21" s="5">
        <f>'مفروضات '!E5*'مفروضات '!E26</f>
        <v>99360000</v>
      </c>
      <c r="G21" s="5">
        <v>47000</v>
      </c>
    </row>
    <row r="22" spans="2:8" ht="18" x14ac:dyDescent="0.25">
      <c r="B22" s="15" t="s">
        <v>79</v>
      </c>
      <c r="C22" s="5">
        <f>'مفروضات '!C6*'مفروضات '!C26</f>
        <v>56064000</v>
      </c>
      <c r="D22" s="5">
        <f>'مفروضات '!D6*'مفروضات '!D26</f>
        <v>66225600</v>
      </c>
      <c r="E22" s="5">
        <f>'مفروضات '!E6*'مفروضات '!E26</f>
        <v>72532800</v>
      </c>
      <c r="G22" s="51">
        <f>G21/G20</f>
        <v>7.400371988178188</v>
      </c>
      <c r="H22" s="51">
        <f>G21/H20</f>
        <v>4.7118625122131368</v>
      </c>
    </row>
    <row r="23" spans="2:8" ht="18" x14ac:dyDescent="0.25">
      <c r="B23" s="15" t="s">
        <v>78</v>
      </c>
      <c r="C23" s="5">
        <f>'مفروضات '!C7*'مفروضات '!C26</f>
        <v>57600000</v>
      </c>
      <c r="D23" s="5">
        <f>'مفروضات '!D7*'مفروضات '!D26</f>
        <v>68040000</v>
      </c>
      <c r="E23" s="5">
        <f>'مفروضات '!E7*'مفروضات '!E26</f>
        <v>74520000</v>
      </c>
    </row>
    <row r="24" spans="2:8" ht="18" x14ac:dyDescent="0.25">
      <c r="B24" s="15" t="s">
        <v>80</v>
      </c>
      <c r="C24" s="5">
        <f>'مفروضات '!C26*'مفروضات '!C8</f>
        <v>54528000</v>
      </c>
      <c r="D24" s="5">
        <f>'مفروضات '!D26*'مفروضات '!D8</f>
        <v>64411200</v>
      </c>
      <c r="E24" s="5">
        <f>'مفروضات '!E26*'مفروضات '!E8</f>
        <v>70545600</v>
      </c>
    </row>
    <row r="25" spans="2:8" ht="18" x14ac:dyDescent="0.25">
      <c r="B25" s="27"/>
      <c r="C25" s="11"/>
      <c r="D25"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rightToLeft="1" workbookViewId="0">
      <selection activeCell="D13" sqref="D13"/>
    </sheetView>
  </sheetViews>
  <sheetFormatPr defaultRowHeight="15" x14ac:dyDescent="0.25"/>
  <cols>
    <col min="1" max="1" width="22.140625" style="1" bestFit="1" customWidth="1"/>
    <col min="2" max="2" width="13.42578125" style="1" customWidth="1"/>
    <col min="3" max="3" width="11.28515625" style="1" customWidth="1"/>
    <col min="4" max="4" width="10.85546875" style="1" bestFit="1" customWidth="1"/>
    <col min="5" max="16384" width="9.140625" style="1"/>
  </cols>
  <sheetData>
    <row r="1" spans="1:4" ht="21.75" thickBot="1" x14ac:dyDescent="0.3">
      <c r="A1" s="18" t="s">
        <v>154</v>
      </c>
      <c r="B1" s="49" t="s">
        <v>103</v>
      </c>
      <c r="C1" s="35" t="s">
        <v>104</v>
      </c>
      <c r="D1" s="35" t="s">
        <v>176</v>
      </c>
    </row>
    <row r="2" spans="1:4" ht="18" x14ac:dyDescent="0.25">
      <c r="A2" s="15" t="s">
        <v>155</v>
      </c>
      <c r="B2" s="5">
        <f>'مفروضات '!C20</f>
        <v>149531799.99999997</v>
      </c>
      <c r="C2" s="5">
        <f>'مفروضات '!D20</f>
        <v>281347999.99999994</v>
      </c>
      <c r="D2" s="5">
        <f>'مفروضات '!E20</f>
        <v>479179600</v>
      </c>
    </row>
    <row r="4" spans="1:4" ht="21.75" thickBot="1" x14ac:dyDescent="0.3">
      <c r="A4" s="18" t="s">
        <v>156</v>
      </c>
      <c r="B4" s="49" t="s">
        <v>103</v>
      </c>
      <c r="C4" s="35" t="s">
        <v>104</v>
      </c>
      <c r="D4" s="35" t="s">
        <v>176</v>
      </c>
    </row>
    <row r="5" spans="1:4" ht="18" x14ac:dyDescent="0.25">
      <c r="A5" s="15" t="s">
        <v>155</v>
      </c>
      <c r="B5" s="5">
        <f>'مفروضات '!C22*'مفروضات '!C26</f>
        <v>31200</v>
      </c>
      <c r="C5" s="5">
        <f>'مفروضات '!D22*'مفروضات '!D26</f>
        <v>32400</v>
      </c>
      <c r="D5" s="5">
        <f>'مفروضات '!E22*'مفروضات '!E26</f>
        <v>35485.714285714283</v>
      </c>
    </row>
    <row r="7" spans="1:4" ht="21.75" thickBot="1" x14ac:dyDescent="0.3">
      <c r="A7" s="18" t="s">
        <v>157</v>
      </c>
      <c r="B7" s="49" t="s">
        <v>103</v>
      </c>
      <c r="C7" s="35" t="s">
        <v>104</v>
      </c>
      <c r="D7" s="35" t="s">
        <v>176</v>
      </c>
    </row>
    <row r="8" spans="1:4" ht="18" x14ac:dyDescent="0.25">
      <c r="A8" s="15" t="s">
        <v>155</v>
      </c>
      <c r="B8" s="5">
        <f>B2*B5/1000000</f>
        <v>4665392.1599999992</v>
      </c>
      <c r="C8" s="5">
        <f>C2*C5/1000000</f>
        <v>9115675.1999999974</v>
      </c>
      <c r="D8" s="5">
        <f>D2*D5/1000000</f>
        <v>17004030.377142854</v>
      </c>
    </row>
    <row r="9" spans="1:4" ht="18" x14ac:dyDescent="0.25">
      <c r="A9" s="17" t="s">
        <v>158</v>
      </c>
      <c r="B9" s="7">
        <f>SUM(B8:B8)</f>
        <v>4665392.1599999992</v>
      </c>
      <c r="C9" s="7">
        <f>SUM(C8:C8)</f>
        <v>9115675.1999999974</v>
      </c>
      <c r="D9" s="7">
        <f>SUM(D8:D8)</f>
        <v>17004030.377142854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rightToLeft="1" workbookViewId="0">
      <selection activeCell="J4" sqref="J4:J5"/>
    </sheetView>
  </sheetViews>
  <sheetFormatPr defaultRowHeight="15" x14ac:dyDescent="0.25"/>
  <cols>
    <col min="1" max="1" width="41.7109375" customWidth="1"/>
    <col min="2" max="2" width="10.28515625" customWidth="1"/>
    <col min="3" max="3" width="10.7109375" customWidth="1"/>
    <col min="4" max="4" width="11.140625" customWidth="1"/>
    <col min="5" max="5" width="12.85546875" customWidth="1"/>
    <col min="6" max="6" width="12.28515625" customWidth="1"/>
    <col min="7" max="7" width="12.42578125" customWidth="1"/>
    <col min="8" max="8" width="13.140625" customWidth="1"/>
  </cols>
  <sheetData>
    <row r="1" spans="1:8" ht="21.75" thickBot="1" x14ac:dyDescent="0.3">
      <c r="A1" s="18" t="s">
        <v>144</v>
      </c>
      <c r="B1" s="49" t="s">
        <v>74</v>
      </c>
      <c r="C1" s="35" t="s">
        <v>75</v>
      </c>
      <c r="D1" s="35" t="s">
        <v>76</v>
      </c>
      <c r="E1" s="35" t="s">
        <v>84</v>
      </c>
      <c r="F1" s="49" t="s">
        <v>103</v>
      </c>
      <c r="G1" s="49" t="s">
        <v>104</v>
      </c>
      <c r="H1" s="49" t="s">
        <v>176</v>
      </c>
    </row>
    <row r="2" spans="1:8" ht="18" x14ac:dyDescent="0.25">
      <c r="A2" s="15" t="s">
        <v>138</v>
      </c>
      <c r="B2" s="5">
        <v>449404</v>
      </c>
      <c r="C2" s="5">
        <v>607660</v>
      </c>
      <c r="D2" s="5">
        <v>876474</v>
      </c>
      <c r="E2" s="5">
        <v>365191</v>
      </c>
      <c r="F2" s="5">
        <f>(E2*3)*1.1</f>
        <v>1205130.3</v>
      </c>
      <c r="G2" s="5">
        <f>(F2+E2)*(1+'مفروضات '!D25)</f>
        <v>2198449.8199999998</v>
      </c>
      <c r="H2" s="5">
        <f>G2*2.2</f>
        <v>4836589.6040000003</v>
      </c>
    </row>
    <row r="3" spans="1:8" ht="18" x14ac:dyDescent="0.25">
      <c r="A3" s="15" t="s">
        <v>139</v>
      </c>
      <c r="B3" s="5">
        <v>360907</v>
      </c>
      <c r="C3" s="5">
        <v>381428</v>
      </c>
      <c r="D3" s="5">
        <v>399618</v>
      </c>
      <c r="E3" s="5">
        <v>104885</v>
      </c>
      <c r="F3" s="5">
        <f>E3*3</f>
        <v>314655</v>
      </c>
      <c r="G3" s="5">
        <f>(F3+E3)*1.2</f>
        <v>503448</v>
      </c>
      <c r="H3" s="5">
        <f>G3*3</f>
        <v>1510344</v>
      </c>
    </row>
    <row r="4" spans="1:8" ht="18" x14ac:dyDescent="0.25">
      <c r="A4" s="15" t="s">
        <v>146</v>
      </c>
      <c r="B4" s="5">
        <v>338661</v>
      </c>
      <c r="C4" s="5">
        <v>607834</v>
      </c>
      <c r="D4" s="5">
        <v>663558</v>
      </c>
      <c r="E4" s="5">
        <v>422353</v>
      </c>
      <c r="F4" s="5">
        <f>'مفروضات '!C37*'مفروضات '!C26*'پیش بینی'!C11/1000000</f>
        <v>931920</v>
      </c>
      <c r="G4" s="5">
        <f>'مفروضات '!D37*'مفروضات '!D26*'پیش بینی'!D11/1000000</f>
        <v>1972080</v>
      </c>
      <c r="H4" s="5">
        <f>'مفروضات '!E37*'مفروضات '!E26*'پیش بینی'!E11/1000000</f>
        <v>3859515</v>
      </c>
    </row>
    <row r="5" spans="1:8" ht="18" x14ac:dyDescent="0.25">
      <c r="A5" s="15" t="s">
        <v>140</v>
      </c>
      <c r="B5" s="5">
        <v>176251</v>
      </c>
      <c r="C5" s="5">
        <v>267535</v>
      </c>
      <c r="D5" s="5">
        <v>329297</v>
      </c>
      <c r="E5" s="5">
        <v>123735</v>
      </c>
      <c r="F5" s="5">
        <f>E5*3*1.4</f>
        <v>519686.99999999994</v>
      </c>
      <c r="G5" s="5">
        <f>(F5+E5)*(1+'مفروضات '!D25)</f>
        <v>900790.79999999993</v>
      </c>
      <c r="H5" s="5">
        <f>(G5+F5)*(1+'مفروضات '!E25)</f>
        <v>1704573.3599999996</v>
      </c>
    </row>
    <row r="6" spans="1:8" ht="18" x14ac:dyDescent="0.25">
      <c r="A6" s="15" t="s">
        <v>145</v>
      </c>
      <c r="B6" s="5">
        <v>85366</v>
      </c>
      <c r="C6" s="5">
        <v>97849</v>
      </c>
      <c r="D6" s="5">
        <v>89130</v>
      </c>
      <c r="E6" s="5">
        <f>(D6/4)</f>
        <v>22282.5</v>
      </c>
      <c r="F6" s="5">
        <f>E6*3</f>
        <v>66847.5</v>
      </c>
      <c r="G6" s="5">
        <f>(F6+E6)*(1+'مفروضات '!D25)</f>
        <v>124781.99999999999</v>
      </c>
      <c r="H6" s="5">
        <f>G6*2</f>
        <v>249563.99999999997</v>
      </c>
    </row>
    <row r="7" spans="1:8" ht="18" x14ac:dyDescent="0.25">
      <c r="A7" s="15" t="s">
        <v>147</v>
      </c>
      <c r="B7" s="5">
        <v>151572</v>
      </c>
      <c r="C7" s="5">
        <v>228697</v>
      </c>
      <c r="D7" s="5">
        <v>320840</v>
      </c>
      <c r="E7" s="5">
        <f>(D7/4)</f>
        <v>80210</v>
      </c>
      <c r="F7" s="5">
        <f t="shared" ref="F7:F8" si="0">E7*3</f>
        <v>240630</v>
      </c>
      <c r="G7" s="5">
        <f>(F7+E7)*(1+'مفروضات '!D22)</f>
        <v>359340.80000000005</v>
      </c>
      <c r="H7" s="5">
        <f>G7*2</f>
        <v>718681.60000000009</v>
      </c>
    </row>
    <row r="8" spans="1:8" ht="18" x14ac:dyDescent="0.25">
      <c r="A8" s="15" t="s">
        <v>143</v>
      </c>
      <c r="B8" s="5">
        <f>439868-B6-B7</f>
        <v>202930</v>
      </c>
      <c r="C8" s="5">
        <f>630480-C6-C7</f>
        <v>303934</v>
      </c>
      <c r="D8" s="5">
        <f>928347-D6-D7</f>
        <v>518377</v>
      </c>
      <c r="E8" s="5">
        <f>252122-E7-E6</f>
        <v>149629.5</v>
      </c>
      <c r="F8" s="5">
        <f t="shared" si="0"/>
        <v>448888.5</v>
      </c>
      <c r="G8" s="5">
        <f>(F8+E8)*(1+'مفروضات '!D25)</f>
        <v>837925.2</v>
      </c>
      <c r="H8" s="5">
        <f>G8*2</f>
        <v>1675850.4</v>
      </c>
    </row>
    <row r="9" spans="1:8" ht="19.5" x14ac:dyDescent="0.25">
      <c r="A9" s="14" t="s">
        <v>35</v>
      </c>
      <c r="B9" s="16">
        <v>1765091</v>
      </c>
      <c r="C9" s="16">
        <v>2494937</v>
      </c>
      <c r="D9" s="16">
        <f>SUM(D2:D8)</f>
        <v>3197294</v>
      </c>
      <c r="E9" s="16">
        <f>SUM(E2:E8)</f>
        <v>1268286</v>
      </c>
      <c r="F9" s="16">
        <f>SUM(F2:F8)</f>
        <v>3727758.3</v>
      </c>
      <c r="G9" s="16">
        <f>SUM(G2:G8)</f>
        <v>6896816.6200000001</v>
      </c>
      <c r="H9" s="16">
        <f>SUM(H2:H8)</f>
        <v>14555117.964</v>
      </c>
    </row>
    <row r="12" spans="1:8" ht="21.75" thickBot="1" x14ac:dyDescent="0.3">
      <c r="A12" s="18" t="s">
        <v>148</v>
      </c>
      <c r="B12" s="49" t="s">
        <v>74</v>
      </c>
      <c r="C12" s="35" t="s">
        <v>75</v>
      </c>
      <c r="D12" s="35" t="s">
        <v>76</v>
      </c>
      <c r="E12" s="35" t="s">
        <v>84</v>
      </c>
      <c r="F12" s="49" t="s">
        <v>103</v>
      </c>
      <c r="G12" s="49" t="s">
        <v>104</v>
      </c>
      <c r="H12" s="49" t="s">
        <v>176</v>
      </c>
    </row>
    <row r="13" spans="1:8" ht="18" x14ac:dyDescent="0.25">
      <c r="A13" s="15" t="s">
        <v>138</v>
      </c>
      <c r="B13" s="5">
        <f>11060+192109</f>
        <v>203169</v>
      </c>
      <c r="C13" s="5">
        <f>17877+265541</f>
        <v>283418</v>
      </c>
      <c r="D13" s="5">
        <f>27185+397869+3600</f>
        <v>428654</v>
      </c>
      <c r="E13" s="5">
        <v>138562</v>
      </c>
      <c r="F13" s="5">
        <f>((1+0.1)*('سربار و عمومی اداری'!E13))*3</f>
        <v>457254.60000000003</v>
      </c>
      <c r="G13" s="5">
        <f>(F13+E13)*(1+'مفروضات '!D25)</f>
        <v>834143.24000000011</v>
      </c>
      <c r="H13" s="5">
        <f>G13*2.2</f>
        <v>1835115.1280000005</v>
      </c>
    </row>
    <row r="14" spans="1:8" ht="18" x14ac:dyDescent="0.25">
      <c r="A14" s="15" t="s">
        <v>139</v>
      </c>
      <c r="B14" s="5">
        <v>33924</v>
      </c>
      <c r="C14" s="5">
        <v>34182</v>
      </c>
      <c r="D14" s="5">
        <v>35339</v>
      </c>
      <c r="E14" s="5">
        <v>8862</v>
      </c>
      <c r="F14" s="5">
        <f>E14*3</f>
        <v>26586</v>
      </c>
      <c r="G14" s="5">
        <f>(F14+E14)*1.1</f>
        <v>38992.800000000003</v>
      </c>
      <c r="H14" s="5">
        <f>G14*2.2</f>
        <v>85784.160000000018</v>
      </c>
    </row>
    <row r="15" spans="1:8" ht="18" x14ac:dyDescent="0.25">
      <c r="A15" s="15" t="s">
        <v>149</v>
      </c>
      <c r="B15" s="5">
        <v>290291</v>
      </c>
      <c r="C15" s="5">
        <v>446125</v>
      </c>
      <c r="D15" s="5">
        <v>645006</v>
      </c>
      <c r="E15" s="5">
        <v>280148</v>
      </c>
      <c r="F15" s="5">
        <f>(('مفروضات '!C34*'مفروضات '!C26*'پیش بینی'!C11))/1000000</f>
        <v>593040</v>
      </c>
      <c r="G15" s="5">
        <f>(('مفروضات '!D34*'مفروضات '!D26*'پیش بینی'!D11))/1000000</f>
        <v>1254960</v>
      </c>
      <c r="H15" s="5">
        <f>(('مفروضات '!E34*'مفروضات '!E26*'پیش بینی'!E11))/1000000</f>
        <v>2456055</v>
      </c>
    </row>
    <row r="16" spans="1:8" ht="18" x14ac:dyDescent="0.25">
      <c r="A16" s="15" t="s">
        <v>141</v>
      </c>
      <c r="B16" s="5">
        <v>23578</v>
      </c>
      <c r="C16" s="5">
        <v>83794</v>
      </c>
      <c r="D16" s="5">
        <v>58867</v>
      </c>
      <c r="E16" s="5">
        <v>30931</v>
      </c>
      <c r="F16" s="5">
        <f>'مفروضات '!C36*'پیش بینی'!C18</f>
        <v>89631.924479999987</v>
      </c>
      <c r="G16" s="5">
        <f>'مفروضات '!D36*'پیش بینی'!D18</f>
        <v>183886.62768000001</v>
      </c>
      <c r="H16" s="5">
        <f>'مفروضات '!E36*'پیش بینی'!E18</f>
        <v>360590.25744000002</v>
      </c>
    </row>
    <row r="17" spans="1:8" ht="18" x14ac:dyDescent="0.25">
      <c r="A17" s="15" t="s">
        <v>142</v>
      </c>
      <c r="B17" s="5">
        <v>219240</v>
      </c>
      <c r="C17" s="5">
        <v>190669</v>
      </c>
      <c r="D17" s="5">
        <v>316394</v>
      </c>
      <c r="E17" s="5">
        <v>101804</v>
      </c>
      <c r="F17" s="5">
        <f>'مفروضات '!C35*'مفروضات '!C26*'پیش بینی'!C11/1000000</f>
        <v>211800</v>
      </c>
      <c r="G17" s="5">
        <f>'مفروضات '!D35*'مفروضات '!D26*'پیش بینی'!D11/1000000</f>
        <v>448200</v>
      </c>
      <c r="H17" s="5">
        <f>'مفروضات '!E35*'مفروضات '!E26*'پیش بینی'!E11/1000000</f>
        <v>877162.5</v>
      </c>
    </row>
    <row r="18" spans="1:8" ht="18" x14ac:dyDescent="0.25">
      <c r="A18" s="15" t="s">
        <v>143</v>
      </c>
      <c r="B18" s="5">
        <v>31163</v>
      </c>
      <c r="C18" s="5">
        <v>42920</v>
      </c>
      <c r="D18" s="5">
        <v>66113</v>
      </c>
      <c r="E18" s="5">
        <v>17774</v>
      </c>
      <c r="F18" s="5">
        <f>E18*3</f>
        <v>53322</v>
      </c>
      <c r="G18" s="5">
        <f>(F18+E18)*(1+'مفروضات '!D25)</f>
        <v>99534.399999999994</v>
      </c>
      <c r="H18" s="5">
        <f>G18*2</f>
        <v>199068.79999999999</v>
      </c>
    </row>
    <row r="19" spans="1:8" ht="19.5" x14ac:dyDescent="0.25">
      <c r="A19" s="14" t="s">
        <v>35</v>
      </c>
      <c r="B19" s="16">
        <f t="shared" ref="B19:H19" si="1">SUM(B13:B18)</f>
        <v>801365</v>
      </c>
      <c r="C19" s="16">
        <f t="shared" si="1"/>
        <v>1081108</v>
      </c>
      <c r="D19" s="16">
        <f t="shared" si="1"/>
        <v>1550373</v>
      </c>
      <c r="E19" s="16">
        <f t="shared" si="1"/>
        <v>578081</v>
      </c>
      <c r="F19" s="16">
        <f t="shared" si="1"/>
        <v>1431634.5244800001</v>
      </c>
      <c r="G19" s="16">
        <f t="shared" si="1"/>
        <v>2859717.0676799999</v>
      </c>
      <c r="H19" s="16">
        <f t="shared" si="1"/>
        <v>5813775.8454400003</v>
      </c>
    </row>
    <row r="21" spans="1:8" ht="21.75" thickBot="1" x14ac:dyDescent="0.3">
      <c r="A21" s="18" t="s">
        <v>148</v>
      </c>
      <c r="B21" s="49" t="s">
        <v>74</v>
      </c>
      <c r="C21" s="35" t="s">
        <v>75</v>
      </c>
      <c r="D21" s="35" t="s">
        <v>76</v>
      </c>
      <c r="E21" s="35" t="s">
        <v>84</v>
      </c>
    </row>
    <row r="22" spans="1:8" ht="18" x14ac:dyDescent="0.25">
      <c r="A22" s="15" t="s">
        <v>149</v>
      </c>
      <c r="B22" s="51">
        <f>((B15*1000000)/('تولید و فروش'!C11))/'تولید و فروش'!C50</f>
        <v>5.7431109713043282</v>
      </c>
      <c r="C22" s="51">
        <f>((C15*1000000)/('تولید و فروش'!D11))/'تولید و فروش'!D50</f>
        <v>5.4547844374342791</v>
      </c>
      <c r="D22" s="51">
        <f>((D15*1000000)/('تولید و فروش'!E11))/'تولید و فروش'!E50</f>
        <v>4.5431512948283359</v>
      </c>
      <c r="E22" s="51">
        <f>((E15*1000000)/('تولید و فروش'!G11))/'تولید و فروش'!G50</f>
        <v>7.1016675032067367</v>
      </c>
    </row>
    <row r="23" spans="1:8" ht="18" x14ac:dyDescent="0.25">
      <c r="A23" s="15" t="s">
        <v>134</v>
      </c>
      <c r="B23" s="51">
        <f>((B17*1000000)/('تولید و فروش'!C11))/'تولید و فروش'!C50</f>
        <v>4.3374394981200268</v>
      </c>
      <c r="C23" s="51">
        <f>((C17*1000000)/('تولید و فروش'!D11))/'تولید و فروش'!D50</f>
        <v>2.3313158731323211</v>
      </c>
      <c r="D23" s="51">
        <f>((D17*1000000)/('تولید و فروش'!E11))/'تولید و فروش'!E50</f>
        <v>2.2285464178254411</v>
      </c>
      <c r="E23" s="51">
        <f>((E17*1000000)/('تولید و فروش'!G11))/'تولید و فروش'!G50</f>
        <v>2.5807007670818951</v>
      </c>
    </row>
    <row r="24" spans="1:8" ht="18" x14ac:dyDescent="0.25">
      <c r="A24" s="15" t="s">
        <v>151</v>
      </c>
      <c r="B24" s="58">
        <f>B16/'تولید و فروش'!C18</f>
        <v>2.3033054063983983E-3</v>
      </c>
      <c r="C24" s="58">
        <f>C16/'تولید و فروش'!D18</f>
        <v>5.9685392720610119E-3</v>
      </c>
      <c r="D24" s="58">
        <f>D16/'تولید و فروش'!E18</f>
        <v>2.45127606310415E-3</v>
      </c>
      <c r="E24" s="58">
        <f>E16/'تولید و فروش'!G18</f>
        <v>3.330481393515365E-3</v>
      </c>
    </row>
    <row r="25" spans="1:8" ht="18" x14ac:dyDescent="0.25">
      <c r="A25" s="15" t="s">
        <v>152</v>
      </c>
      <c r="B25" s="51">
        <f>((B4*1000000)/('تولید و فروش'!C11))/'تولید و فروش'!C50</f>
        <v>6.7000620227733378</v>
      </c>
      <c r="C25" s="51">
        <f>((C4*1000000)/('تولید و فروش'!D11))/'تولید و فروش'!D50</f>
        <v>7.4320054777101214</v>
      </c>
      <c r="D25" s="51">
        <f>((D4*1000000)/('تولید و فروش'!E11))/'تولید و فروش'!E50</f>
        <v>4.6738237890712657</v>
      </c>
      <c r="E25" s="51">
        <f>((E4*1000000)/('تولید و فروش'!G11))/'تولید و فروش'!G50</f>
        <v>10.706521463590228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rightToLeft="1" workbookViewId="0">
      <selection activeCell="H11" sqref="H11"/>
    </sheetView>
  </sheetViews>
  <sheetFormatPr defaultRowHeight="15" x14ac:dyDescent="0.25"/>
  <cols>
    <col min="1" max="1" width="31.7109375" style="59" customWidth="1"/>
    <col min="2" max="2" width="12.5703125" style="59" customWidth="1"/>
    <col min="3" max="3" width="13.85546875" style="59" customWidth="1"/>
    <col min="4" max="5" width="14.5703125" style="59" customWidth="1"/>
    <col min="6" max="6" width="14.7109375" style="59" customWidth="1"/>
    <col min="7" max="16384" width="9.140625" style="59"/>
  </cols>
  <sheetData>
    <row r="1" spans="1:6" ht="21.75" thickBot="1" x14ac:dyDescent="0.3">
      <c r="A1" s="18" t="s">
        <v>1</v>
      </c>
      <c r="B1" s="35" t="s">
        <v>76</v>
      </c>
      <c r="C1" s="35" t="s">
        <v>84</v>
      </c>
      <c r="D1" s="49" t="s">
        <v>103</v>
      </c>
      <c r="E1" s="49" t="s">
        <v>104</v>
      </c>
      <c r="F1" s="49" t="s">
        <v>176</v>
      </c>
    </row>
    <row r="2" spans="1:6" ht="18" x14ac:dyDescent="0.25">
      <c r="A2" s="15" t="s">
        <v>159</v>
      </c>
      <c r="B2" s="5">
        <v>4739492</v>
      </c>
      <c r="C2" s="5">
        <v>1343989</v>
      </c>
      <c r="D2" s="5">
        <f>مواد!B9</f>
        <v>4665392.1599999992</v>
      </c>
      <c r="E2" s="5">
        <f>مواد!C9</f>
        <v>9115675.1999999974</v>
      </c>
      <c r="F2" s="5">
        <f>مواد!D9</f>
        <v>17004030.377142854</v>
      </c>
    </row>
    <row r="3" spans="1:6" ht="18" x14ac:dyDescent="0.25">
      <c r="A3" s="15" t="s">
        <v>160</v>
      </c>
      <c r="B3" s="5">
        <v>235590</v>
      </c>
      <c r="C3" s="5">
        <v>102637</v>
      </c>
      <c r="D3" s="5">
        <f>C3*3*1.1</f>
        <v>338702.10000000003</v>
      </c>
      <c r="E3" s="5">
        <f>(D3+C3)*(1+'مفروضات '!D25)</f>
        <v>617874.74</v>
      </c>
      <c r="F3" s="5">
        <f>E3*2.2</f>
        <v>1359324.4280000001</v>
      </c>
    </row>
    <row r="4" spans="1:6" ht="18" x14ac:dyDescent="0.25">
      <c r="A4" s="15" t="s">
        <v>161</v>
      </c>
      <c r="B4" s="5">
        <v>3197294</v>
      </c>
      <c r="C4" s="5">
        <v>1660421</v>
      </c>
      <c r="D4" s="5">
        <f>'سربار و عمومی اداری'!F9</f>
        <v>3727758.3</v>
      </c>
      <c r="E4" s="5">
        <f>'سربار و عمومی اداری'!G9</f>
        <v>6896816.6200000001</v>
      </c>
      <c r="F4" s="5">
        <f>'سربار و عمومی اداری'!H9</f>
        <v>14555117.964</v>
      </c>
    </row>
    <row r="5" spans="1:6" ht="18" x14ac:dyDescent="0.25">
      <c r="A5" s="17" t="s">
        <v>35</v>
      </c>
      <c r="B5" s="7">
        <f>SUM(B2:B4)</f>
        <v>8172376</v>
      </c>
      <c r="C5" s="7">
        <f t="shared" ref="C5:F5" si="0">SUM(C2:C4)</f>
        <v>3107047</v>
      </c>
      <c r="D5" s="7">
        <f t="shared" si="0"/>
        <v>8731852.5599999987</v>
      </c>
      <c r="E5" s="7">
        <f t="shared" si="0"/>
        <v>16630366.559999999</v>
      </c>
      <c r="F5" s="7">
        <f t="shared" si="0"/>
        <v>32918472.769142851</v>
      </c>
    </row>
    <row r="6" spans="1:6" ht="18" x14ac:dyDescent="0.25">
      <c r="A6" s="15" t="s">
        <v>162</v>
      </c>
      <c r="B6" s="5">
        <v>-3002</v>
      </c>
      <c r="C6" s="5">
        <v>0</v>
      </c>
      <c r="D6" s="5">
        <v>0</v>
      </c>
      <c r="E6" s="5">
        <v>0</v>
      </c>
      <c r="F6" s="5">
        <v>0</v>
      </c>
    </row>
    <row r="7" spans="1:6" ht="18" x14ac:dyDescent="0.25">
      <c r="A7" s="17" t="s">
        <v>163</v>
      </c>
      <c r="B7" s="7">
        <f>SUM(B5:B6)</f>
        <v>8169374</v>
      </c>
      <c r="C7" s="7">
        <f t="shared" ref="C7:F7" si="1">SUM(C5:C6)</f>
        <v>3107047</v>
      </c>
      <c r="D7" s="7">
        <f t="shared" si="1"/>
        <v>8731852.5599999987</v>
      </c>
      <c r="E7" s="7">
        <f t="shared" si="1"/>
        <v>16630366.559999999</v>
      </c>
      <c r="F7" s="7">
        <f t="shared" si="1"/>
        <v>32918472.769142851</v>
      </c>
    </row>
    <row r="8" spans="1:6" ht="18" x14ac:dyDescent="0.25">
      <c r="A8" s="15" t="s">
        <v>164</v>
      </c>
      <c r="B8" s="5">
        <v>0</v>
      </c>
      <c r="C8" s="5">
        <v>0</v>
      </c>
      <c r="D8" s="5">
        <v>0</v>
      </c>
      <c r="E8" s="5">
        <v>0</v>
      </c>
      <c r="F8" s="5">
        <v>0</v>
      </c>
    </row>
    <row r="9" spans="1:6" ht="18" x14ac:dyDescent="0.25">
      <c r="A9" s="15" t="s">
        <v>165</v>
      </c>
      <c r="B9" s="5">
        <v>0</v>
      </c>
      <c r="C9" s="5">
        <v>0</v>
      </c>
      <c r="D9" s="5">
        <v>0</v>
      </c>
      <c r="E9" s="5">
        <v>0</v>
      </c>
      <c r="F9" s="5">
        <v>0</v>
      </c>
    </row>
    <row r="10" spans="1:6" ht="18" x14ac:dyDescent="0.25">
      <c r="A10" s="15" t="s">
        <v>166</v>
      </c>
      <c r="B10" s="5">
        <v>0</v>
      </c>
      <c r="C10" s="5">
        <v>0</v>
      </c>
      <c r="D10" s="5">
        <v>0</v>
      </c>
      <c r="E10" s="5">
        <v>0</v>
      </c>
      <c r="F10" s="5">
        <v>0</v>
      </c>
    </row>
    <row r="11" spans="1:6" ht="18" x14ac:dyDescent="0.25">
      <c r="A11" s="17" t="s">
        <v>167</v>
      </c>
      <c r="B11" s="7">
        <f>B7+B8+B9+B10</f>
        <v>8169374</v>
      </c>
      <c r="C11" s="7">
        <f t="shared" ref="C11:F11" si="2">C7+C8+C9+C10</f>
        <v>3107047</v>
      </c>
      <c r="D11" s="7">
        <f t="shared" si="2"/>
        <v>8731852.5599999987</v>
      </c>
      <c r="E11" s="7">
        <f t="shared" si="2"/>
        <v>16630366.559999999</v>
      </c>
      <c r="F11" s="7">
        <f t="shared" si="2"/>
        <v>32918472.769142851</v>
      </c>
    </row>
    <row r="12" spans="1:6" ht="18" x14ac:dyDescent="0.25">
      <c r="A12" s="15" t="s">
        <v>168</v>
      </c>
      <c r="B12" s="5">
        <v>150146</v>
      </c>
      <c r="C12" s="5">
        <f>-B13</f>
        <v>715958</v>
      </c>
      <c r="D12" s="5">
        <f>-C13</f>
        <v>1075401</v>
      </c>
      <c r="E12" s="5">
        <v>0</v>
      </c>
      <c r="F12" s="5">
        <v>0</v>
      </c>
    </row>
    <row r="13" spans="1:6" ht="18" x14ac:dyDescent="0.25">
      <c r="A13" s="15" t="s">
        <v>169</v>
      </c>
      <c r="B13" s="5">
        <v>-715958</v>
      </c>
      <c r="C13" s="5">
        <v>-1075401</v>
      </c>
      <c r="D13" s="5">
        <v>0</v>
      </c>
      <c r="E13" s="5">
        <v>0</v>
      </c>
      <c r="F13" s="5">
        <v>0</v>
      </c>
    </row>
    <row r="14" spans="1:6" ht="18" x14ac:dyDescent="0.25">
      <c r="A14" s="17" t="s">
        <v>170</v>
      </c>
      <c r="B14" s="7">
        <f>B11+B12+B13</f>
        <v>7603562</v>
      </c>
      <c r="C14" s="7">
        <f t="shared" ref="C14:F14" si="3">C11+C12+C13</f>
        <v>2747604</v>
      </c>
      <c r="D14" s="7">
        <f t="shared" si="3"/>
        <v>9807253.5599999987</v>
      </c>
      <c r="E14" s="7">
        <f t="shared" si="3"/>
        <v>16630366.559999999</v>
      </c>
      <c r="F14" s="7">
        <f t="shared" si="3"/>
        <v>32918472.769142851</v>
      </c>
    </row>
    <row r="15" spans="1:6" ht="18" x14ac:dyDescent="0.25">
      <c r="A15" s="15" t="s">
        <v>171</v>
      </c>
      <c r="B15" s="5">
        <v>0</v>
      </c>
      <c r="C15" s="5">
        <v>0</v>
      </c>
      <c r="D15" s="5">
        <v>0</v>
      </c>
      <c r="E15" s="5">
        <v>0</v>
      </c>
      <c r="F15" s="5">
        <v>0</v>
      </c>
    </row>
    <row r="16" spans="1:6" ht="18" x14ac:dyDescent="0.25">
      <c r="A16" s="17" t="s">
        <v>172</v>
      </c>
      <c r="B16" s="7">
        <v>7370112</v>
      </c>
      <c r="C16" s="7">
        <v>2502288</v>
      </c>
      <c r="D16" s="7">
        <f>SUM(D14:D15)</f>
        <v>9807253.5599999987</v>
      </c>
      <c r="E16" s="7">
        <f>SUM(E14:E15)</f>
        <v>16630366.559999999</v>
      </c>
      <c r="F16" s="7">
        <f>SUM(F14:F15)</f>
        <v>32918472.769142851</v>
      </c>
    </row>
    <row r="18" spans="4:5" x14ac:dyDescent="0.25">
      <c r="D18" s="60"/>
      <c r="E18" s="60"/>
    </row>
    <row r="19" spans="4:5" x14ac:dyDescent="0.25">
      <c r="D19" s="60"/>
      <c r="E19" s="6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توضیحات</vt:lpstr>
      <vt:lpstr>یاداشت ها</vt:lpstr>
      <vt:lpstr>مفروضات </vt:lpstr>
      <vt:lpstr>تولید و فروش</vt:lpstr>
      <vt:lpstr>عملکرد فصلی</vt:lpstr>
      <vt:lpstr>پیش بینی</vt:lpstr>
      <vt:lpstr>مواد</vt:lpstr>
      <vt:lpstr>سربار و عمومی اداری</vt:lpstr>
      <vt:lpstr>بهای تمام شده</vt:lpstr>
      <vt:lpstr>سود (زیان)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dc:creator>
  <cp:lastModifiedBy>HAMID</cp:lastModifiedBy>
  <dcterms:created xsi:type="dcterms:W3CDTF">2021-07-07T04:53:20Z</dcterms:created>
  <dcterms:modified xsi:type="dcterms:W3CDTF">2021-08-18T16:00:15Z</dcterms:modified>
</cp:coreProperties>
</file>